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w0ufvNjz4W1PudXy0WIXf63uv/lXTlegENgw5dSR5bKZkV/h2VSxu5kT+vt/EoyoPeWPtRsw0VwVzTNw+P2l5w==" workbookSaltValue="SDt3TPRdwTrZPHC1mvNgU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G17" i="13" s="1"/>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20" i="17" s="1"/>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Z14" i="17" s="1"/>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F18" i="17" s="1"/>
  <c r="AQ18" i="17" s="1"/>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K21" i="8" s="1"/>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BG16" i="8" s="1"/>
  <c r="K16" i="7" s="1"/>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R14" i="12"/>
  <c r="BD11" i="13"/>
  <c r="AN21" i="13"/>
  <c r="D20" i="12"/>
  <c r="ER21" i="8"/>
  <c r="N19" i="11"/>
  <c r="AE14" i="21"/>
  <c r="EL21" i="8"/>
  <c r="EQ21" i="8"/>
  <c r="EN21" i="8"/>
  <c r="K20" i="11"/>
  <c r="BA14" i="16"/>
  <c r="N10" i="11"/>
  <c r="N9" i="11"/>
  <c r="ES21" i="8"/>
  <c r="G20" i="12"/>
  <c r="AQ19" i="11"/>
  <c r="EP21" i="8"/>
  <c r="ER21" i="13"/>
  <c r="AL14" i="16"/>
  <c r="EP21" i="19"/>
  <c r="S14" i="16"/>
  <c r="P14" i="16"/>
  <c r="K20" i="2"/>
  <c r="M14" i="2"/>
  <c r="N14" i="2"/>
  <c r="F14" i="7"/>
  <c r="T14" i="12"/>
  <c r="T14" i="16"/>
  <c r="AY20" i="8"/>
  <c r="BF16" i="8"/>
  <c r="AY14" i="8"/>
  <c r="BD9" i="8"/>
  <c r="E14" i="17"/>
  <c r="AH14" i="16"/>
  <c r="T14" i="20"/>
  <c r="BG16" i="13"/>
  <c r="BB20" i="13"/>
  <c r="BE17" i="13"/>
  <c r="K22" i="20"/>
  <c r="Y22" i="20"/>
  <c r="AC22" i="20"/>
  <c r="AA22" i="20"/>
  <c r="U12" i="11"/>
  <c r="AQ22" i="21"/>
  <c r="U17" i="11"/>
  <c r="AQ22" i="20"/>
  <c r="G14" i="14"/>
  <c r="W22" i="20"/>
  <c r="U10" i="11"/>
  <c r="W22" i="21"/>
  <c r="AF22" i="20"/>
  <c r="U18" i="11"/>
  <c r="AL22" i="20"/>
  <c r="AE22" i="20"/>
  <c r="AG22" i="20"/>
  <c r="L22" i="20"/>
  <c r="M22" i="20"/>
  <c r="N22" i="20"/>
  <c r="AW20" i="21" l="1"/>
  <c r="BF18" i="8"/>
  <c r="AE21" i="8"/>
  <c r="R21" i="8"/>
  <c r="F13" i="2"/>
  <c r="H12" i="2"/>
  <c r="B19" i="6"/>
  <c r="AL16" i="11"/>
  <c r="M20" i="2"/>
  <c r="N20" i="2"/>
  <c r="BD16" i="13"/>
  <c r="BF17" i="13"/>
  <c r="R13" i="17"/>
  <c r="I13" i="14"/>
  <c r="BE9" i="8"/>
  <c r="BD12" i="13"/>
  <c r="BE16" i="13"/>
  <c r="BF16" i="13"/>
  <c r="BD17" i="13"/>
  <c r="F11" i="16"/>
  <c r="BL11" i="16" s="1"/>
  <c r="R8" i="9"/>
  <c r="T9" i="11"/>
  <c r="BH11" i="16"/>
  <c r="BF13" i="11"/>
  <c r="BH16" i="11"/>
  <c r="BH19" i="16"/>
  <c r="P18" i="17"/>
  <c r="BK12" i="11"/>
  <c r="AO16" i="17"/>
  <c r="BL12" i="11"/>
  <c r="V11" i="11"/>
  <c r="Q10" i="21"/>
  <c r="V9" i="11"/>
  <c r="BJ16" i="11"/>
  <c r="BI18" i="11"/>
  <c r="AZ13" i="11"/>
  <c r="R18" i="20"/>
  <c r="R20" i="20" s="1"/>
  <c r="BK18" i="11"/>
  <c r="AP18" i="20"/>
  <c r="BU11" i="17"/>
  <c r="BV18" i="16"/>
  <c r="BU10" i="17"/>
  <c r="BW12" i="20"/>
  <c r="BW16" i="20"/>
  <c r="BU19" i="17"/>
  <c r="BU13" i="17"/>
  <c r="BU12" i="17"/>
  <c r="AZ17" i="11"/>
  <c r="AZ11" i="11"/>
  <c r="S16" i="16"/>
  <c r="T16" i="11"/>
  <c r="AA10" i="16"/>
  <c r="X10" i="17"/>
  <c r="X9" i="17"/>
  <c r="X17" i="20"/>
  <c r="L10" i="2"/>
  <c r="T19" i="20"/>
  <c r="S10" i="14"/>
  <c r="V10" i="14" s="1"/>
  <c r="S18" i="14"/>
  <c r="V18" i="14" s="1"/>
  <c r="R12" i="14"/>
  <c r="R19" i="14"/>
  <c r="T13" i="11"/>
  <c r="X17" i="17"/>
  <c r="X16" i="17"/>
  <c r="AA11" i="16"/>
  <c r="X18" i="20"/>
  <c r="U10" i="21"/>
  <c r="V19" i="16"/>
  <c r="L11" i="2"/>
  <c r="V16" i="20"/>
  <c r="V20" i="20" s="1"/>
  <c r="AO14" i="21"/>
  <c r="BB14" i="13"/>
  <c r="BE14" i="13" s="1"/>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C20" i="7"/>
  <c r="AS14" i="8"/>
  <c r="AS21" i="8" s="1"/>
  <c r="H13" i="10"/>
  <c r="J10" i="2"/>
  <c r="J16" i="7"/>
  <c r="I12" i="3"/>
  <c r="E12" i="3"/>
  <c r="B9" i="6"/>
  <c r="H10" i="2"/>
  <c r="E17" i="6"/>
  <c r="AO18" i="11"/>
  <c r="AO16" i="11"/>
  <c r="AO18" i="17"/>
  <c r="BM21" i="8"/>
  <c r="C13" i="14"/>
  <c r="K13" i="14" s="1"/>
  <c r="C10" i="14"/>
  <c r="K10" i="14" s="1"/>
  <c r="J13" i="2"/>
  <c r="H9" i="7"/>
  <c r="E11" i="6"/>
  <c r="C12" i="6"/>
  <c r="C18" i="6"/>
  <c r="AN10" i="11"/>
  <c r="H18" i="2"/>
  <c r="T10" i="2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AM13" i="11"/>
  <c r="B11" i="6"/>
  <c r="L11" i="14"/>
  <c r="AL11" i="11"/>
  <c r="AO11" i="11"/>
  <c r="AO9" i="11"/>
  <c r="G14" i="2"/>
  <c r="L12" i="14"/>
  <c r="E9" i="6"/>
  <c r="K9" i="12" s="1"/>
  <c r="I9" i="7"/>
  <c r="J9" i="7"/>
  <c r="K9" i="7"/>
  <c r="K10" i="7"/>
  <c r="AO10" i="17"/>
  <c r="I20" i="2"/>
  <c r="B12" i="6"/>
  <c r="AL12" i="11"/>
  <c r="I14" i="2"/>
  <c r="J14" i="2" s="1"/>
  <c r="C11" i="6"/>
  <c r="AM11" i="11"/>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K17" i="7"/>
  <c r="I12" i="12"/>
  <c r="AP17" i="20"/>
  <c r="BL19" i="11"/>
  <c r="BK13" i="11"/>
  <c r="BG10" i="11"/>
  <c r="BM17" i="11"/>
  <c r="V11" i="16"/>
  <c r="BH19" i="11"/>
  <c r="BF10" i="11"/>
  <c r="AZ19" i="11"/>
  <c r="V12" i="21"/>
  <c r="V18" i="16"/>
  <c r="BK16" i="11"/>
  <c r="AP10" i="21"/>
  <c r="V13" i="11"/>
  <c r="BI16" i="11"/>
  <c r="BM13" i="11"/>
  <c r="AP16" i="20"/>
  <c r="BL11" i="11"/>
  <c r="BL13" i="11"/>
  <c r="Q13" i="11" s="1"/>
  <c r="BM16" i="11"/>
  <c r="T16" i="16"/>
  <c r="BV19" i="16"/>
  <c r="BV13" i="16"/>
  <c r="BV17" i="16"/>
  <c r="BV16" i="16"/>
  <c r="BW11" i="20"/>
  <c r="BV10" i="16"/>
  <c r="V12" i="16"/>
  <c r="BV9" i="16"/>
  <c r="AA16" i="16"/>
  <c r="T17" i="11"/>
  <c r="Q18" i="17"/>
  <c r="BH10" i="11"/>
  <c r="BI9" i="11"/>
  <c r="AQ10" i="21"/>
  <c r="S10" i="17"/>
  <c r="BH10" i="16"/>
  <c r="Q16" i="17"/>
  <c r="Q20" i="17" s="1"/>
  <c r="BM18" i="11"/>
  <c r="BF16" i="11"/>
  <c r="BH17" i="11"/>
  <c r="AQ12" i="21"/>
  <c r="BJ17" i="11"/>
  <c r="BJ20" i="11" s="1"/>
  <c r="BL17" i="11"/>
  <c r="S17" i="17"/>
  <c r="L17" i="2"/>
  <c r="L13" i="2"/>
  <c r="X10" i="21"/>
  <c r="X16" i="16"/>
  <c r="X20" i="16" s="1"/>
  <c r="V10" i="16"/>
  <c r="X13" i="16"/>
  <c r="BH9" i="16"/>
  <c r="BL9" i="11"/>
  <c r="BH18" i="16"/>
  <c r="BH16" i="16"/>
  <c r="Q18" i="20"/>
  <c r="Q20" i="20" s="1"/>
  <c r="BF18" i="11"/>
  <c r="BK19" i="11"/>
  <c r="BK9" i="11"/>
  <c r="BK14" i="11" s="1"/>
  <c r="S9" i="17"/>
  <c r="BM12" i="11"/>
  <c r="S9" i="14"/>
  <c r="V9" i="14" s="1"/>
  <c r="BI19" i="11"/>
  <c r="BJ12" i="11"/>
  <c r="BG16" i="11"/>
  <c r="AQ14" i="21"/>
  <c r="BG19" i="11"/>
  <c r="T18" i="16"/>
  <c r="BU16" i="17"/>
  <c r="BW9" i="20"/>
  <c r="BW13" i="20"/>
  <c r="BW17" i="20"/>
  <c r="U13" i="17"/>
  <c r="U10" i="17"/>
  <c r="BU18" i="17"/>
  <c r="BG12" i="11"/>
  <c r="BF12" i="11"/>
  <c r="Q12" i="11" s="1"/>
  <c r="BL10" i="11"/>
  <c r="BK17" i="11"/>
  <c r="BG17" i="11"/>
  <c r="BM9" i="11"/>
  <c r="BK10" i="11"/>
  <c r="L12" i="2"/>
  <c r="L18" i="2"/>
  <c r="U9" i="17"/>
  <c r="U21" i="17" s="1"/>
  <c r="BU17" i="17"/>
  <c r="S11" i="14"/>
  <c r="V11" i="14" s="1"/>
  <c r="P16" i="17"/>
  <c r="P20" i="17" s="1"/>
  <c r="P21" i="17" s="1"/>
  <c r="BL16" i="11"/>
  <c r="P16" i="11" s="1"/>
  <c r="BJ10" i="11"/>
  <c r="BH11" i="11"/>
  <c r="S18" i="17"/>
  <c r="BH12" i="16"/>
  <c r="S16" i="17"/>
  <c r="X19" i="16"/>
  <c r="L19" i="2"/>
  <c r="L9" i="2"/>
  <c r="V9" i="16"/>
  <c r="T19" i="11"/>
  <c r="AO17" i="17"/>
  <c r="R11" i="14"/>
  <c r="S19" i="14"/>
  <c r="V19" i="14" s="1"/>
  <c r="S13" i="17"/>
  <c r="X14" i="17"/>
  <c r="AO13" i="17"/>
  <c r="AM12" i="11"/>
  <c r="AO9" i="17"/>
  <c r="AM17" i="11"/>
  <c r="V10" i="21"/>
  <c r="AM16" i="11"/>
  <c r="AO12" i="17"/>
  <c r="X12" i="16"/>
  <c r="X9" i="16"/>
  <c r="X21" i="16" s="1"/>
  <c r="AZ18" i="11"/>
  <c r="AA12" i="21"/>
  <c r="X19" i="20"/>
  <c r="T18" i="20"/>
  <c r="AA9" i="16"/>
  <c r="X12" i="17"/>
  <c r="V13" i="16"/>
  <c r="AM9" i="11"/>
  <c r="R17" i="14"/>
  <c r="R10" i="14"/>
  <c r="S13" i="14"/>
  <c r="V13" i="14" s="1"/>
  <c r="R13" i="14"/>
  <c r="R14" i="14" s="1"/>
  <c r="L16" i="2"/>
  <c r="V16" i="16"/>
  <c r="X11" i="17"/>
  <c r="AA18" i="16"/>
  <c r="X13" i="17"/>
  <c r="T18" i="11"/>
  <c r="S16" i="14"/>
  <c r="V16" i="14" s="1"/>
  <c r="X18" i="17"/>
  <c r="AZ12" i="11"/>
  <c r="AA17" i="16"/>
  <c r="S11" i="17"/>
  <c r="BW10" i="20"/>
  <c r="BU9" i="17"/>
  <c r="BV11" i="16"/>
  <c r="BV12" i="16"/>
  <c r="BW18" i="20"/>
  <c r="BW19" i="20"/>
  <c r="AZ16" i="11"/>
  <c r="AZ20" i="11" s="1"/>
  <c r="AZ9" i="11"/>
  <c r="BH18" i="11"/>
  <c r="BH13" i="11"/>
  <c r="BG9" i="11"/>
  <c r="R10" i="21"/>
  <c r="BJ11" i="11"/>
  <c r="BH9" i="11"/>
  <c r="BI10" i="11"/>
  <c r="BK11" i="11"/>
  <c r="S18" i="16"/>
  <c r="S20" i="16" s="1"/>
  <c r="BF17" i="11"/>
  <c r="BL18" i="11"/>
  <c r="P18" i="11" s="1"/>
  <c r="BJ19" i="11"/>
  <c r="BF19" i="11"/>
  <c r="BJ18" i="11"/>
  <c r="V16" i="11"/>
  <c r="BF11" i="11"/>
  <c r="X12" i="21"/>
  <c r="X21" i="21" s="1"/>
  <c r="T11" i="11"/>
  <c r="T12" i="11"/>
  <c r="R18" i="14"/>
  <c r="S17" i="14"/>
  <c r="V17" i="14" s="1"/>
  <c r="S12" i="14"/>
  <c r="V12" i="14" s="1"/>
  <c r="I12" i="7"/>
  <c r="C14" i="6"/>
  <c r="AB21" i="21"/>
  <c r="H21" i="21"/>
  <c r="K19" i="12"/>
  <c r="I11" i="12"/>
  <c r="AV14" i="16"/>
  <c r="BG14" i="13"/>
  <c r="AK21" i="13"/>
  <c r="BC21" i="13"/>
  <c r="BD14" i="13"/>
  <c r="BM21" i="13"/>
  <c r="AD21" i="13"/>
  <c r="AI21" i="13"/>
  <c r="L21" i="13"/>
  <c r="N21" i="13"/>
  <c r="BD10" i="13"/>
  <c r="K16" i="12"/>
  <c r="K10" i="12"/>
  <c r="I9" i="12"/>
  <c r="Q21" i="17"/>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AS14" i="11"/>
  <c r="AS20" i="11"/>
  <c r="E14" i="11"/>
  <c r="AH20" i="11"/>
  <c r="S14" i="11"/>
  <c r="T14" i="11" s="1"/>
  <c r="AI14" i="11"/>
  <c r="AI23" i="11" s="1"/>
  <c r="F20" i="11"/>
  <c r="AU14" i="11"/>
  <c r="AP18" i="11"/>
  <c r="AT14" i="11"/>
  <c r="AV20" i="11"/>
  <c r="R14" i="11"/>
  <c r="Y19" i="11"/>
  <c r="Z14" i="11"/>
  <c r="AD14" i="11"/>
  <c r="AF20" i="11"/>
  <c r="AF14"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AQ17" i="11"/>
  <c r="W20" i="11"/>
  <c r="Y17" i="11"/>
  <c r="X20" i="11"/>
  <c r="AC9" i="11"/>
  <c r="H14" i="11"/>
  <c r="E14" i="12" s="1"/>
  <c r="S20" i="11"/>
  <c r="T20" i="11" s="1"/>
  <c r="H20" i="11"/>
  <c r="X14" i="11"/>
  <c r="AA20" i="11"/>
  <c r="AA21" i="11" s="1"/>
  <c r="M20" i="11"/>
  <c r="C17" i="14"/>
  <c r="K17" i="14" s="1"/>
  <c r="AV21" i="17"/>
  <c r="J17" i="7"/>
  <c r="F20" i="3"/>
  <c r="G20" i="3" s="1"/>
  <c r="H14" i="3"/>
  <c r="E20" i="6"/>
  <c r="BK20" i="11"/>
  <c r="BK21" i="11" s="1"/>
  <c r="K12" i="12"/>
  <c r="AJ20" i="11"/>
  <c r="D20" i="5"/>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E21" i="2"/>
  <c r="BI20" i="16"/>
  <c r="D21" i="12"/>
  <c r="I18" i="12"/>
  <c r="BW23" i="20"/>
  <c r="Q10" i="11"/>
  <c r="AQ21" i="20"/>
  <c r="D11" i="6"/>
  <c r="J11" i="12" s="1"/>
  <c r="E11" i="3"/>
  <c r="R16" i="14"/>
  <c r="BH17" i="16"/>
  <c r="AM18" i="11"/>
  <c r="BI17" i="11"/>
  <c r="BI13" i="11"/>
  <c r="BG18" i="11"/>
  <c r="BI11" i="11"/>
  <c r="P21" i="8"/>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S22" i="20"/>
  <c r="AW22" i="11"/>
  <c r="AV22" i="21"/>
  <c r="V14" i="21" l="1"/>
  <c r="V21" i="21" s="1"/>
  <c r="BU23" i="17"/>
  <c r="BF20" i="11"/>
  <c r="BH20" i="11"/>
  <c r="BV14" i="16"/>
  <c r="BI20" i="11"/>
  <c r="D21" i="14"/>
  <c r="Q16" i="11"/>
  <c r="P13" i="11"/>
  <c r="Q9" i="11"/>
  <c r="P9" i="11"/>
  <c r="U14" i="17"/>
  <c r="S21" i="16"/>
  <c r="R14" i="21"/>
  <c r="R21" i="21" s="1"/>
  <c r="AZ21" i="11"/>
  <c r="AZ14" i="1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O22" i="21"/>
  <c r="AZ22" i="16"/>
  <c r="AX22" i="16"/>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AU22" i="11"/>
  <c r="AH22" i="21"/>
  <c r="J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BI21" i="11" s="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<sst xmlns="http://schemas.openxmlformats.org/spreadsheetml/2006/main" count="2229" uniqueCount="979">
  <si>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</si>
  <si>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</si>
  <si>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</si>
  <si>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</si>
  <si>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</si>
  <si>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</si>
  <si>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</si>
  <si>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</si>
  <si>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</si>
  <si>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</si>
  <si>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</si>
  <si>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</si>
  <si>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</si>
  <si>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</si>
  <si>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</si>
  <si>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</si>
  <si>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</si>
  <si>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</si>
  <si>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</si>
  <si>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</si>
  <si>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</si>
  <si>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</si>
  <si>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</si>
  <si>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</si>
  <si>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</si>
  <si>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</si>
  <si>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</si>
  <si>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</si>
  <si>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</si>
  <si>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</si>
  <si>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</si>
  <si>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</si>
  <si>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</si>
  <si>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</si>
  <si>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</si>
  <si>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</si>
  <si>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</si>
  <si>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</si>
  <si>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</si>
  <si>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</si>
  <si>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</si>
  <si>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</si>
  <si>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</si>
  <si>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</si>
  <si>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</si>
  <si>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</si>
  <si>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</si>
  <si>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</si>
  <si>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</si>
  <si>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</si>
  <si>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</si>
  <si>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</si>
  <si>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</si>
  <si>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</si>
  <si>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</si>
  <si>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</si>
  <si>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</si>
  <si>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</si>
  <si>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</si>
  <si>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</si>
  <si>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</si>
  <si>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</si>
  <si>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</si>
  <si>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</si>
  <si>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</si>
  <si>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</si>
  <si>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</si>
  <si>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</si>
  <si>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</si>
  <si>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</si>
  <si>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</si>
  <si>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</si>
  <si>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</si>
  <si>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</si>
  <si>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</si>
  <si>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</si>
  <si>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</si>
  <si>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</si>
  <si>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</si>
  <si>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</si>
  <si>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</si>
  <si>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</si>
  <si>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</si>
  <si>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</si>
  <si>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</si>
  <si>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</si>
  <si>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</si>
  <si>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</si>
  <si>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</si>
  <si>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</si>
  <si>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</si>
  <si>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</si>
  <si>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</si>
  <si>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</si>
  <si>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</si>
  <si>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</si>
  <si>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</si>
  <si>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</si>
  <si>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</si>
  <si>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</si>
  <si>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</si>
  <si>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</si>
  <si>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</si>
  <si>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</si>
  <si>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</si>
  <si>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</si>
  <si>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</si>
  <si>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</si>
  <si>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</si>
  <si>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</si>
  <si>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</si>
  <si>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</si>
  <si>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</si>
  <si>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</si>
  <si>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</si>
  <si>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</si>
  <si>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</si>
  <si>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</si>
  <si>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</si>
  <si>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</si>
  <si>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</si>
  <si>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</si>
  <si>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</si>
  <si>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</si>
  <si>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</si>
  <si>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</si>
  <si>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</si>
  <si>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</si>
  <si>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</si>
  <si>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</si>
  <si>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</si>
  <si>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</si>
  <si>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</si>
  <si>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</si>
  <si>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</si>
  <si>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</si>
  <si>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</si>
  <si>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</si>
  <si>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</si>
  <si>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</si>
  <si>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</si>
  <si>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</si>
  <si>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</si>
  <si>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</si>
  <si>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</si>
  <si>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</si>
  <si>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</si>
  <si>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</si>
  <si>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</si>
  <si>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</si>
  <si>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</si>
  <si>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</si>
  <si>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</si>
  <si>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</si>
  <si>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</si>
  <si>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</si>
  <si>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</si>
  <si>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</si>
  <si>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</si>
  <si>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</si>
  <si>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</si>
  <si>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</si>
  <si>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</si>
  <si>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</si>
  <si>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</si>
  <si>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</si>
  <si>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</si>
  <si>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</si>
  <si>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</si>
  <si>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</si>
  <si>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</si>
  <si>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</si>
  <si>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</si>
  <si>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</si>
  <si>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</si>
  <si>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</si>
  <si>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</si>
  <si>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</si>
  <si>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</si>
  <si>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</si>
  <si>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</si>
  <si>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</si>
  <si>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</si>
  <si>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</si>
  <si>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</si>
  <si>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</si>
  <si>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</si>
  <si>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</si>
  <si>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</si>
  <si>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</si>
  <si>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</si>
  <si>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</si>
  <si>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</si>
  <si>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</si>
  <si>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</si>
  <si>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</si>
  <si>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</si>
  <si>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</si>
  <si>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</si>
  <si>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</si>
  <si>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</si>
  <si>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</si>
  <si>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</si>
  <si>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</si>
  <si>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</si>
  <si>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</si>
  <si>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</si>
  <si>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</si>
  <si>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</si>
  <si>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</si>
  <si>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</si>
  <si>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</si>
  <si>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</si>
  <si>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</si>
  <si>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</si>
  <si>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</si>
  <si>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</si>
  <si>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</si>
  <si>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</si>
  <si>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</si>
  <si>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</si>
  <si>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</si>
  <si>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</si>
  <si>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</si>
  <si>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</si>
  <si>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</si>
  <si>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</si>
  <si>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</si>
  <si>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</si>
  <si>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</si>
  <si>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</si>
  <si>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</si>
  <si>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</si>
  <si>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</si>
  <si>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</si>
  <si>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</si>
  <si>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</si>
  <si>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</si>
  <si>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</si>
  <si>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</si>
  <si>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</si>
  <si>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</si>
  <si>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</si>
  <si>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</si>
  <si>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</si>
  <si>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</si>
  <si>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</si>
  <si>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</si>
  <si>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</si>
  <si>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</si>
  <si>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</si>
  <si>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</si>
  <si>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</si>
  <si>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</si>
  <si>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</si>
  <si>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</si>
  <si>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</si>
  <si>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</si>
  <si>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</si>
  <si>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</si>
  <si>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</si>
  <si>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</si>
  <si>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</si>
  <si>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</si>
  <si>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</si>
  <si>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</si>
  <si>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</si>
  <si>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</si>
  <si>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</si>
  <si>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</si>
  <si>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</si>
  <si>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</si>
  <si>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</si>
  <si>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</si>
  <si>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</si>
  <si>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</si>
  <si>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</si>
  <si>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</si>
  <si>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</si>
  <si>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</si>
  <si>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</si>
  <si>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</si>
  <si>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</si>
  <si>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</si>
  <si>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</si>
  <si>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</si>
  <si>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</si>
  <si>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</si>
  <si>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</si>
  <si>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</si>
  <si>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</si>
  <si>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</si>
  <si>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</si>
  <si>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</si>
  <si>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</si>
  <si>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</si>
  <si>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</si>
  <si>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</si>
  <si>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</si>
  <si>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</si>
  <si>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</si>
  <si>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</si>
  <si>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</si>
  <si>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</si>
  <si>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</si>
  <si>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</si>
  <si>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</si>
  <si>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</si>
  <si>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</si>
  <si>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</si>
  <si>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</si>
  <si>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</si>
  <si>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</si>
  <si>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</si>
  <si>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</si>
  <si>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</si>
  <si>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</si>
  <si>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</si>
  <si>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</si>
  <si>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</si>
  <si>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</si>
  <si>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</si>
  <si>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</si>
  <si>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</si>
  <si>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</si>
  <si>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</si>
  <si>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</si>
  <si>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</si>
  <si>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</si>
  <si>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</si>
  <si>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</si>
  <si>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</si>
  <si>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</si>
  <si>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</si>
  <si>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</si>
  <si>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</si>
  <si>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</si>
  <si>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</si>
  <si>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</si>
  <si>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</si>
  <si>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</si>
  <si>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</si>
  <si>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</si>
  <si>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</si>
  <si>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</si>
  <si>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</si>
  <si>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</si>
  <si>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</si>
  <si>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</si>
  <si>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</si>
  <si>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</si>
  <si>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</si>
  <si>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</si>
  <si>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</si>
  <si>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</si>
  <si>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</si>
  <si>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</si>
  <si>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</si>
  <si>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</si>
  <si>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</si>
  <si>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</si>
  <si>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</si>
  <si>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</si>
  <si>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</si>
  <si>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</si>
  <si>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</si>
  <si>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</si>
  <si>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</si>
  <si>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</si>
  <si>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</si>
  <si>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</si>
  <si>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</si>
  <si>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</si>
  <si>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</si>
  <si>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</si>
  <si>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</si>
  <si>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</si>
  <si>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</si>
  <si>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</si>
  <si>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</si>
  <si>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</si>
  <si>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</si>
  <si>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</si>
  <si>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</si>
  <si>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</si>
  <si>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</si>
  <si>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</si>
  <si>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</si>
  <si>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</si>
  <si>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</si>
  <si>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</si>
  <si>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</si>
  <si>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</si>
  <si>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</si>
  <si>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</si>
  <si>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</si>
  <si>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</si>
  <si>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</si>
  <si>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</si>
  <si>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</si>
  <si>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</si>
  <si>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</si>
  <si>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</si>
  <si>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</si>
  <si>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</si>
  <si>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</si>
  <si>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</si>
  <si>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</si>
  <si>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</si>
  <si>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</si>
  <si>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</si>
  <si>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</si>
  <si>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</si>
  <si>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</si>
  <si>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</si>
  <si>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</si>
  <si>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</si>
  <si>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</si>
  <si>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</si>
  <si>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</si>
  <si>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</si>
  <si>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</si>
  <si>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</si>
  <si>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</si>
  <si>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</si>
  <si>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</si>
  <si>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</si>
  <si>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</si>
  <si>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</si>
  <si>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</si>
  <si>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</si>
  <si>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</si>
  <si>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</si>
  <si>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</si>
  <si>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</si>
  <si>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</si>
  <si>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</si>
  <si>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</si>
  <si>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</si>
  <si>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</si>
  <si>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</si>
  <si>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</si>
  <si>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</si>
  <si>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</si>
  <si>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</si>
  <si>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</si>
  <si>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</si>
  <si>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</si>
  <si>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</si>
  <si>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</si>
  <si>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</si>
  <si>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</si>
  <si>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</si>
  <si>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</si>
  <si>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</si>
  <si>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</si>
  <si>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</si>
  <si>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</si>
  <si>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</si>
  <si>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</si>
  <si>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</si>
  <si>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</si>
  <si>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</si>
  <si>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</si>
  <si>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</si>
  <si>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</si>
  <si>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</si>
  <si>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</si>
  <si>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</si>
  <si>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</si>
  <si>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</si>
  <si>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</si>
  <si>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</si>
  <si>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</si>
  <si>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</si>
  <si>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</si>
  <si>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</si>
  <si>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</si>
  <si>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</si>
  <si>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</si>
  <si>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</si>
  <si>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</si>
  <si>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</si>
  <si>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</si>
  <si>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</si>
  <si>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</si>
  <si>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</si>
  <si>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</si>
  <si>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</si>
  <si>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</si>
  <si>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</si>
  <si>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</si>
  <si>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</si>
  <si>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</si>
  <si>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</si>
  <si>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</si>
  <si>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</si>
  <si>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</si>
  <si>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</si>
  <si>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</si>
  <si>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</si>
  <si>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</si>
  <si>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</si>
  <si>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</si>
  <si>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</si>
  <si>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</si>
  <si>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</si>
  <si>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</si>
  <si>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</si>
  <si>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</si>
  <si>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</si>
  <si>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</si>
  <si>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</si>
  <si>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</si>
  <si>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</si>
  <si>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</si>
  <si>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</si>
  <si>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</si>
  <si>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</si>
  <si>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</si>
  <si>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</si>
  <si>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</si>
  <si>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</si>
  <si>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</si>
  <si>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</si>
  <si>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</si>
  <si>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</si>
  <si>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</si>
  <si>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</si>
  <si>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</si>
  <si>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</si>
  <si>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</si>
  <si>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</si>
  <si>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</si>
  <si>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</si>
  <si>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</si>
  <si>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</si>
  <si>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</si>
  <si>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</si>
  <si>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</si>
  <si>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</si>
  <si>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</si>
  <si>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</si>
  <si>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</si>
  <si>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</si>
  <si>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</si>
  <si>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</si>
  <si>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</si>
  <si>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</si>
  <si>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</si>
  <si>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</si>
  <si>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</si>
  <si>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</si>
  <si>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</si>
  <si>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</si>
  <si>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</si>
  <si>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</si>
  <si>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</si>
  <si>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</si>
  <si>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</si>
  <si>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</si>
  <si>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</si>
  <si>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</si>
  <si>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</si>
  <si>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</si>
  <si>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</si>
  <si>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</si>
  <si>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</si>
  <si>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</si>
  <si>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</si>
  <si>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</si>
  <si>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</si>
  <si>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</si>
  <si>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</si>
  <si>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</si>
  <si>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</si>
  <si>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</si>
  <si>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</si>
  <si>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</si>
  <si>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</si>
  <si>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</si>
  <si>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</si>
  <si>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</si>
  <si>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</si>
  <si>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</si>
  <si>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</si>
  <si>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</si>
  <si>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</si>
  <si>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</si>
  <si>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</si>
  <si>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</si>
  <si>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</si>
  <si>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</si>
  <si>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</si>
  <si>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</si>
  <si>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</si>
  <si>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</si>
  <si>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</si>
  <si>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</si>
  <si>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</si>
  <si>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</si>
  <si>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</si>
  <si>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</si>
  <si>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</si>
  <si>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</si>
  <si>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</si>
  <si>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</si>
  <si>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</si>
  <si>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</si>
  <si>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</si>
  <si>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</si>
  <si>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</si>
  <si>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</si>
  <si>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</si>
  <si>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</si>
  <si>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</si>
  <si>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</si>
  <si>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</si>
  <si>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</si>
  <si>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</si>
  <si>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</si>
  <si>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</si>
  <si>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</si>
  <si>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</si>
  <si>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</si>
  <si>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</si>
  <si>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</si>
  <si>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</si>
  <si>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</si>
  <si>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</si>
  <si>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</si>
  <si>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</si>
  <si>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</si>
  <si>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</si>
  <si>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</si>
  <si>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</si>
  <si>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</si>
  <si>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</si>
  <si>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</si>
  <si>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</si>
  <si>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</si>
  <si>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</si>
  <si>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</si>
  <si>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</si>
  <si>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</si>
  <si>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</si>
  <si>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</si>
  <si>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</si>
  <si>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</si>
  <si>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</si>
  <si>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</si>
  <si>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</si>
  <si>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</si>
  <si>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</si>
  <si>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</si>
  <si>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</si>
  <si>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</si>
  <si>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</si>
  <si>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</si>
  <si>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</si>
  <si>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</si>
  <si>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</si>
  <si>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</si>
  <si>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</si>
  <si>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</si>
  <si>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</si>
  <si>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</si>
  <si>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</si>
  <si>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</si>
  <si>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</si>
  <si>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</si>
  <si>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</si>
  <si>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</si>
  <si>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</si>
  <si>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</si>
  <si>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</si>
  <si>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</si>
  <si>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</si>
  <si>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</si>
  <si>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</si>
  <si>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</si>
  <si>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</si>
  <si>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</si>
  <si>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</si>
  <si>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</si>
  <si>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</si>
  <si>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</si>
  <si>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</si>
  <si>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</si>
  <si>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</si>
  <si>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</si>
  <si>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</si>
  <si>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</si>
  <si>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</si>
  <si>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</si>
  <si>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</si>
  <si>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</si>
  <si>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</si>
  <si>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</si>
  <si>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</si>
  <si>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</si>
  <si>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</si>
  <si>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</si>
  <si>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</si>
  <si>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</si>
  <si>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</si>
  <si>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</si>
  <si>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</si>
  <si>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</si>
  <si>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</si>
  <si>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</si>
  <si>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</si>
  <si>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</si>
  <si>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</si>
  <si>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</si>
  <si>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</si>
  <si>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</si>
  <si>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</si>
  <si>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</si>
  <si>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</si>
  <si>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</si>
  <si>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</si>
  <si>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</si>
  <si>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</si>
  <si>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</si>
  <si>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</si>
  <si>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</si>
  <si>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</si>
  <si>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</si>
  <si>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</si>
  <si>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</si>
  <si>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</si>
  <si>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</si>
  <si>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</si>
  <si>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</si>
  <si>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</si>
  <si>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</si>
  <si>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</si>
  <si>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</si>
  <si>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</si>
  <si>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</si>
  <si>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</si>
  <si>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</si>
  <si>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</si>
  <si>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</si>
  <si>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</si>
  <si>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</si>
  <si>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</si>
  <si>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</si>
  <si>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</si>
  <si>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</si>
  <si>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</si>
  <si>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</si>
  <si>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</si>
  <si>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</si>
  <si>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</si>
  <si>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</si>
  <si>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</si>
  <si>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</si>
  <si>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</si>
  <si>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</si>
  <si>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</si>
  <si>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</si>
  <si>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</si>
  <si>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</si>
  <si>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</si>
  <si>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</si>
  <si>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</si>
  <si>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</si>
  <si>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</si>
  <si>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</si>
  <si>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</si>
  <si>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</si>
  <si>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</si>
  <si>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</si>
  <si>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</si>
  <si>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</si>
  <si>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</si>
  <si>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</si>
  <si>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</si>
  <si>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</si>
  <si>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</si>
  <si>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</si>
  <si>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</si>
  <si>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</si>
  <si>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</si>
  <si>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</si>
  <si>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</si>
  <si>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</si>
  <si>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</si>
  <si>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</si>
  <si>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</si>
  <si>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</si>
  <si>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</si>
  <si>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</si>
  <si>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</si>
  <si>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</si>
  <si>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</si>
  <si>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</si>
  <si>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</si>
  <si>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</si>
  <si>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</si>
  <si>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</si>
  <si>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</si>
  <si>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</si>
  <si>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</si>
  <si>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</si>
  <si>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</si>
  <si>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</si>
  <si>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</si>
  <si>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</si>
  <si>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</si>
  <si>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</si>
  <si>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</si>
  <si>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</si>
  <si>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</si>
  <si>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</si>
  <si>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</si>
  <si>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</si>
  <si>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</si>
  <si>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</si>
  <si>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</si>
  <si>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</si>
  <si>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</si>
  <si>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</si>
  <si>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</si>
  <si>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</si>
  <si>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</si>
  <si>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</si>
  <si>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</si>
  <si>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</si>
  <si>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</si>
  <si>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</si>
  <si>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</si>
  <si>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</si>
  <si>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</si>
  <si>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</si>
  <si>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</si>
  <si>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</si>
  <si>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</si>
  <si>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</si>
  <si>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</si>
  <si>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</si>
  <si>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</si>
  <si>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</si>
  <si>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</si>
  <si>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</si>
  <si>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</si>
  <si>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</si>
  <si>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</si>
  <si>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</si>
  <si>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</si>
  <si>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</si>
  <si>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</si>
  <si>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</si>
  <si>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</si>
  <si>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</si>
  <si>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</si>
  <si>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</si>
  <si>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</si>
  <si>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</si>
  <si>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</si>
  <si>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</si>
  <si>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</si>
  <si>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</si>
  <si>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</si>
  <si>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</si>
  <si>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</si>
  <si>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</si>
  <si>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</si>
  <si>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</si>
  <si>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</si>
  <si>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</si>
  <si>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</si>
  <si>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</si>
  <si>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</si>
  <si>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</si>
  <si>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</si>
  <si>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</si>
  <si>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</si>
  <si>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</si>
  <si>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</si>
  <si>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</si>
  <si>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</si>
  <si>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</si>
  <si>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</si>
  <si>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</si>
  <si>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</si>
  <si>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</si>
  <si>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</si>
  <si>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</si>
  <si>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</si>
  <si>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</si>
  <si>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</si>
  <si>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</si>
  <si>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</si>
  <si>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</si>
  <si>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</si>
  <si>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</si>
  <si>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</si>
  <si>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</si>
  <si>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</si>
  <si>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</si>
  <si>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</si>
  <si>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</si>
  <si>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</si>
  <si>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</si>
  <si>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</si>
  <si>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</si>
  <si>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</si>
  <si>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</si>
  <si>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</si>
  <si>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</si>
  <si>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</si>
  <si>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</si>
  <si>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</si>
  <si>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</si>
  <si>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</si>
  <si>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</si>
  <si>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</si>
  <si>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</si>
  <si>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</si>
  <si>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</si>
  <si>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</si>
  <si>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</si>
  <si>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</si>
  <si>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</si>
  <si>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</si>
  <si>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</si>
  <si>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</si>
  <si>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</si>
  <si>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</si>
  <si>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</si>
  <si>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</si>
  <si>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</si>
  <si>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</si>
  <si>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</si>
  <si>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</si>
  <si>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</si>
  <si>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</si>
  <si>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</si>
  <si>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</si>
  <si>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</si>
  <si>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</si>
  <si>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</si>
  <si>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</si>
  <si>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</si>
  <si>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</si>
  <si>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</si>
  <si>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</si>
  <si>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</si>
  <si>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</si>
  <si>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</si>
  <si>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</si>
  <si>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</si>
  <si>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</si>
  <si>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</si>
  <si>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</si>
  <si>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</si>
  <si>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</si>
  <si>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</si>
  <si>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</si>
  <si>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</si>
  <si>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</si>
  <si>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</si>
  <si>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</si>
  <si>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</si>
  <si>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</si>
  <si>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</si>
  <si>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</si>
  <si>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</si>
  <si>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</si>
  <si>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</si>
  <si>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</si>
  <si>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PAIS VASCO</t>
  </si>
  <si>
    <t>Provincias</t>
  </si>
  <si>
    <t>GIPUZKOA</t>
  </si>
  <si>
    <t>Resumenes por Partidos Judiciales</t>
  </si>
  <si>
    <t>TOLOSA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</si>
</sst>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DuAFWVf2+QNQtS1UPPSh5La+3y9mY5pE2mmX/cTnvgjdjj9YOSHMPWnsHehIBJOUArU6PZRI15o8YUMDETY1qw==" saltValue="osRD+pWL7TQ3TUClTAkH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PAIS VASCO</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53</v>
      </c>
      <c r="D10" s="230">
        <f>IF(ISNUMBER(Datos!I10),Datos!I10," - ")</f>
        <v>38</v>
      </c>
      <c r="E10" s="231">
        <f>IF(ISNUMBER(Datos!J10),Datos!J10," - ")</f>
        <v>12</v>
      </c>
      <c r="F10" s="231">
        <f>IF(ISNUMBER(Datos!K10),Datos!K10," - ")</f>
        <v>14</v>
      </c>
      <c r="G10" s="1193" t="str">
        <f>IF(Datos!E10&lt;&gt;"",Datos!E10,Datos!D10)</f>
        <v>37</v>
      </c>
      <c r="H10" s="232">
        <f>IF(ISNUMBER(Datos!L10),Datos!L10," - ")</f>
        <v>51</v>
      </c>
      <c r="I10" s="1203" t="str">
        <f>IF(ISNUMBER(Datos!AS10/Datos!BM10),Datos!AS10/Datos!BM10," - ")</f>
        <v xml:space="preserve"> - </v>
      </c>
      <c r="J10" s="1204">
        <f>IF(ISNUMBER(Datos!BY10/Datos!CN10),Datos!BY10/Datos!CN10," - ")</f>
        <v>0</v>
      </c>
      <c r="K10" s="235">
        <f t="shared" ref="K10:K13" si="1">IF(ISNUMBER((E10-F10)/C10),(E10-F10)/C10," - ")</f>
        <v>-3.7735849056603772E-2</v>
      </c>
      <c r="L10" s="1205">
        <f>IF(ISNUMBER(NºAsuntos!I10/NºAsuntos!G10),(NºAsuntos!I10/NºAsuntos!G10)*11," - ")</f>
        <v>40.071428571428569</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4</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28.380414312617702</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53</v>
      </c>
      <c r="D14" s="1210">
        <f>SUBTOTAL(9,D9:D13)</f>
        <v>38</v>
      </c>
      <c r="E14" s="1211">
        <f>SUBTOTAL(9,E9:E13)</f>
        <v>12</v>
      </c>
      <c r="F14" s="1212">
        <f>SUBTOTAL(9,F9:F13)</f>
        <v>14</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4</v>
      </c>
      <c r="B17" s="1258" t="str">
        <f>Datos!A17</f>
        <v xml:space="preserve">Jdos. 1ª Instª. e Instr.                        </v>
      </c>
      <c r="C17" s="230">
        <f t="shared" si="2"/>
        <v>1384</v>
      </c>
      <c r="D17" s="230">
        <f>IF(ISNUMBER(IF(D_I="SI",Datos!I17,Datos!I17+Datos!AC17)),IF(D_I="SI",Datos!I17,Datos!I17+Datos!AC17)," - ")</f>
        <v>1383</v>
      </c>
      <c r="E17" s="231">
        <f>IF(ISNUMBER(IF(D_I="SI",Datos!J17,Datos!J17+Datos!AD17)),IF(D_I="SI",Datos!J17,Datos!J17+Datos!AD17)," - ")</f>
        <v>581</v>
      </c>
      <c r="F17" s="231">
        <f>IF(ISNUMBER(IF(D_I="SI",Datos!K17,Datos!K17+Datos!AE17)),IF(D_I="SI",Datos!K17,Datos!K17+Datos!AE17)," - ")</f>
        <v>600</v>
      </c>
      <c r="G17" s="1193" t="str">
        <f>IF(Datos!E17&lt;&gt;"",Datos!E17,Datos!D17)</f>
        <v>04</v>
      </c>
      <c r="H17" s="232">
        <f>IF(ISNUMBER(IF(D_I="SI",Datos!L17,Datos!L17+Datos!AF17)),IF(D_I="SI",Datos!L17,Datos!L17+Datos!AF17)," - ")</f>
        <v>1365</v>
      </c>
      <c r="I17" s="1203" t="str">
        <f>IF(ISNUMBER(Datos!AS17/Datos!BM17),Datos!AS17/Datos!BM17," - ")</f>
        <v xml:space="preserve"> - </v>
      </c>
      <c r="J17" s="1204">
        <f>IF(ISNUMBER(Datos!BY17/Datos!CN17),Datos!BY17/Datos!CN17," - ")</f>
        <v>0</v>
      </c>
      <c r="K17" s="235">
        <f t="shared" si="3"/>
        <v>-1.3728323699421965E-2</v>
      </c>
      <c r="L17" s="1205">
        <f>IF(ISNUMBER(NºAsuntos!I17/NºAsuntos!G17),(NºAsuntos!I17/NºAsuntos!G17)*11," - ")</f>
        <v>25.024999999999999</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138</v>
      </c>
      <c r="D18" s="230">
        <f>IF(ISNUMBER(IF(D_I="SI",Datos!I18,Datos!I18+Datos!AC18)),IF(D_I="SI",Datos!I18,Datos!I18+Datos!AC18)," - ")</f>
        <v>138</v>
      </c>
      <c r="E18" s="231">
        <f>IF(ISNUMBER(IF(D_I="SI",Datos!J18,Datos!J18+Datos!AD18)),IF(D_I="SI",Datos!J18,Datos!J18+Datos!AD18)," - ")</f>
        <v>58</v>
      </c>
      <c r="F18" s="231">
        <f>IF(ISNUMBER(IF(D_I="SI",Datos!K18,Datos!K18+Datos!AE18)),IF(D_I="SI",Datos!K18,Datos!K18+Datos!AE18)," - ")</f>
        <v>60</v>
      </c>
      <c r="G18" s="1193" t="str">
        <f>IF(Datos!E18&lt;&gt;"",Datos!E18,Datos!D18)</f>
        <v>37</v>
      </c>
      <c r="H18" s="232">
        <f>IF(ISNUMBER(IF(D_I="SI",Datos!L18,Datos!L18+Datos!AF18)),IF(D_I="SI",Datos!L18,Datos!L18+Datos!AF18)," - ")</f>
        <v>136</v>
      </c>
      <c r="I18" s="1203" t="str">
        <f>IF(ISNUMBER(Datos!AS18/Datos!BM18),Datos!AS18/Datos!BM18," - ")</f>
        <v xml:space="preserve"> - </v>
      </c>
      <c r="J18" s="1204" t="str">
        <f>IF(ISNUMBER((Datos!BY18+Datos!BZ18)/Datos!CN18),(Datos!BY18+Datos!BZ18)/Datos!CN18," - ")</f>
        <v xml:space="preserve"> - </v>
      </c>
      <c r="K18" s="235">
        <f t="shared" si="3"/>
        <v>-1.4492753623188406E-2</v>
      </c>
      <c r="L18" s="1205">
        <f>IF(ISNUMBER(NºAsuntos!I18/NºAsuntos!G18),(NºAsuntos!I18/NºAsuntos!G18)*11," - ")</f>
        <v>24.933333333333334</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1522</v>
      </c>
      <c r="D20" s="1210">
        <f>SUBTOTAL(9,D16:D19)</f>
        <v>1521</v>
      </c>
      <c r="E20" s="1211">
        <f>SUBTOTAL(9,E16:E19)</f>
        <v>639</v>
      </c>
      <c r="F20" s="1211">
        <f>SUBTOTAL(9,F16:F19)</f>
        <v>660</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1575</v>
      </c>
      <c r="D21" s="1232">
        <f>SUBTOTAL(9,D9:D20)</f>
        <v>1559</v>
      </c>
      <c r="E21" s="1233">
        <f>SUBTOTAL(9,E9:E20)</f>
        <v>651</v>
      </c>
      <c r="F21" s="1233">
        <f>SUBTOTAL(9,F9:F20)</f>
        <v>674</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5WnEioG2a37fOx82QH98MCIry/YFx71GhbcP2bdU/0+NdJf8VsQq3HbmIefC/5yzvlQYAwrAc8pLGv89xq4YZA==" saltValue="bBAZVedldtOma18UxnCWY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RdrzYdTqWDSMLtbC+UZeat6C0YZDYNl06Q5Gi758VAhVUTbRLmpFrC+diy2fUb5ZtiynxNO7yAMqLu+eZ8AeUQ==" saltValue="5BICvDmEMAfC3WCARgSaQ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38</v>
      </c>
      <c r="J10" s="186">
        <v>12</v>
      </c>
      <c r="K10" s="186">
        <v>14</v>
      </c>
      <c r="L10" s="186">
        <v>51</v>
      </c>
      <c r="M10" s="186">
        <v>8</v>
      </c>
      <c r="N10" s="186">
        <v>3</v>
      </c>
      <c r="O10" s="186">
        <v>2</v>
      </c>
      <c r="P10" s="186">
        <v>0</v>
      </c>
      <c r="Q10" s="186">
        <v>0</v>
      </c>
      <c r="R10" s="186">
        <v>0</v>
      </c>
      <c r="S10" s="186">
        <v>26</v>
      </c>
      <c r="T10" s="186">
        <v>10</v>
      </c>
      <c r="U10" s="186">
        <v>5</v>
      </c>
      <c r="V10" s="186">
        <v>31</v>
      </c>
      <c r="W10" s="186">
        <v>2</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26</v>
      </c>
      <c r="AZ10" s="131">
        <f t="shared" si="0"/>
        <v>10</v>
      </c>
      <c r="BA10" s="131">
        <f t="shared" si="0"/>
        <v>5</v>
      </c>
      <c r="BB10" s="131">
        <f t="shared" si="0"/>
        <v>31</v>
      </c>
      <c r="BC10" s="127">
        <f t="shared" si="0"/>
        <v>2</v>
      </c>
      <c r="BD10" s="128">
        <f>IF(ISNUMBER(BA10/AZ10),BA10/AZ10," - ")</f>
        <v>0.5</v>
      </c>
      <c r="BE10" s="129">
        <f>IF(ISNUMBER(BB10/BA10),BB10/BA10, " - ")</f>
        <v>6.2</v>
      </c>
      <c r="BF10" s="129">
        <f>IF(ISNUMBER(BC10/BA10),BC10/BA10, " - ")</f>
        <v>0.4</v>
      </c>
      <c r="BG10" s="201">
        <f>IF(ISNUMBER((AY10+AZ10)/BA10),(AY10+AZ10)/BA10," - ")</f>
        <v>7.2</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1356</v>
      </c>
      <c r="J12" s="188">
        <v>484</v>
      </c>
      <c r="K12" s="188">
        <v>495</v>
      </c>
      <c r="L12" s="188">
        <v>1301</v>
      </c>
      <c r="M12" s="188">
        <v>160</v>
      </c>
      <c r="N12" s="188">
        <v>169</v>
      </c>
      <c r="O12" s="186">
        <v>223</v>
      </c>
      <c r="P12" s="188">
        <v>101</v>
      </c>
      <c r="Q12" s="188">
        <v>143</v>
      </c>
      <c r="R12" s="188">
        <v>1082</v>
      </c>
      <c r="S12" s="188">
        <v>1094</v>
      </c>
      <c r="T12" s="188">
        <v>535</v>
      </c>
      <c r="U12" s="188">
        <v>428</v>
      </c>
      <c r="V12" s="188">
        <v>1199</v>
      </c>
      <c r="W12" s="188">
        <v>113</v>
      </c>
      <c r="X12" s="194">
        <v>178</v>
      </c>
      <c r="Y12" s="196">
        <v>66</v>
      </c>
      <c r="Z12" s="186">
        <v>39</v>
      </c>
      <c r="AA12" s="186">
        <v>36</v>
      </c>
      <c r="AB12" s="186">
        <v>69</v>
      </c>
      <c r="AC12" s="188">
        <v>0</v>
      </c>
      <c r="AD12" s="188">
        <v>0</v>
      </c>
      <c r="AE12" s="188">
        <v>0</v>
      </c>
      <c r="AF12" s="194">
        <v>0</v>
      </c>
      <c r="AG12" s="207">
        <v>55</v>
      </c>
      <c r="AH12" s="188">
        <v>44</v>
      </c>
      <c r="AI12" s="188">
        <v>51</v>
      </c>
      <c r="AJ12" s="208">
        <v>48</v>
      </c>
      <c r="AK12" s="187">
        <v>0</v>
      </c>
      <c r="AL12" s="188">
        <v>0</v>
      </c>
      <c r="AM12" s="188">
        <v>0</v>
      </c>
      <c r="AN12" s="194">
        <v>0</v>
      </c>
      <c r="AO12" s="264">
        <v>4</v>
      </c>
      <c r="AP12" s="160">
        <v>4</v>
      </c>
      <c r="AQ12" s="160">
        <v>4</v>
      </c>
      <c r="AR12" s="159">
        <v>4</v>
      </c>
      <c r="AS12" s="350" t="s">
        <v>874</v>
      </c>
      <c r="AT12" s="208"/>
      <c r="AU12" s="207"/>
      <c r="AV12" s="208"/>
      <c r="AW12" s="207"/>
      <c r="AX12" s="208"/>
      <c r="AY12" s="128">
        <f t="shared" si="1"/>
        <v>1149</v>
      </c>
      <c r="AZ12" s="129">
        <f t="shared" si="1"/>
        <v>579</v>
      </c>
      <c r="BA12" s="129">
        <f t="shared" si="1"/>
        <v>479</v>
      </c>
      <c r="BB12" s="129">
        <f t="shared" si="1"/>
        <v>1247</v>
      </c>
      <c r="BC12" s="127">
        <f>IF(ISNUMBER(X12),X12," - ")</f>
        <v>178</v>
      </c>
      <c r="BD12" s="128">
        <f t="shared" si="2"/>
        <v>0.82728842832469773</v>
      </c>
      <c r="BE12" s="129">
        <f t="shared" si="3"/>
        <v>2.6033402922755742</v>
      </c>
      <c r="BF12" s="129">
        <f t="shared" si="4"/>
        <v>0.37160751565762007</v>
      </c>
      <c r="BG12" s="201">
        <f t="shared" si="5"/>
        <v>3.6075156576200418</v>
      </c>
      <c r="BH12" s="160">
        <v>4</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1394</v>
      </c>
      <c r="J14" s="189">
        <f t="shared" si="7"/>
        <v>496</v>
      </c>
      <c r="K14" s="189">
        <f t="shared" si="7"/>
        <v>509</v>
      </c>
      <c r="L14" s="189">
        <f t="shared" si="7"/>
        <v>1352</v>
      </c>
      <c r="M14" s="189">
        <f t="shared" si="7"/>
        <v>168</v>
      </c>
      <c r="N14" s="189">
        <f t="shared" si="7"/>
        <v>172</v>
      </c>
      <c r="O14" s="189">
        <f t="shared" si="7"/>
        <v>225</v>
      </c>
      <c r="P14" s="189">
        <f t="shared" si="7"/>
        <v>101</v>
      </c>
      <c r="Q14" s="189">
        <f t="shared" si="7"/>
        <v>143</v>
      </c>
      <c r="R14" s="189">
        <f t="shared" si="7"/>
        <v>1082</v>
      </c>
      <c r="S14" s="189">
        <f t="shared" si="7"/>
        <v>1120</v>
      </c>
      <c r="T14" s="189">
        <f t="shared" si="7"/>
        <v>545</v>
      </c>
      <c r="U14" s="189">
        <f t="shared" si="7"/>
        <v>433</v>
      </c>
      <c r="V14" s="189">
        <f t="shared" si="7"/>
        <v>1230</v>
      </c>
      <c r="W14" s="189">
        <f t="shared" si="7"/>
        <v>115</v>
      </c>
      <c r="X14" s="189">
        <f t="shared" si="7"/>
        <v>178</v>
      </c>
      <c r="Y14" s="189">
        <f t="shared" si="7"/>
        <v>66</v>
      </c>
      <c r="Z14" s="189">
        <f t="shared" si="7"/>
        <v>39</v>
      </c>
      <c r="AA14" s="189">
        <f t="shared" si="7"/>
        <v>36</v>
      </c>
      <c r="AB14" s="189">
        <f t="shared" si="7"/>
        <v>69</v>
      </c>
      <c r="AC14" s="189">
        <f t="shared" si="7"/>
        <v>0</v>
      </c>
      <c r="AD14" s="189">
        <f t="shared" si="7"/>
        <v>0</v>
      </c>
      <c r="AE14" s="189">
        <f t="shared" si="7"/>
        <v>0</v>
      </c>
      <c r="AF14" s="189">
        <f>SUBTOTAL(9,AF9:AF13)</f>
        <v>0</v>
      </c>
      <c r="AG14" s="189">
        <f t="shared" ref="AG14:AT14" si="8">SUBTOTAL(9,AG8:AG13)</f>
        <v>55</v>
      </c>
      <c r="AH14" s="189">
        <f t="shared" si="8"/>
        <v>44</v>
      </c>
      <c r="AI14" s="189">
        <f t="shared" si="8"/>
        <v>51</v>
      </c>
      <c r="AJ14" s="189">
        <f t="shared" si="8"/>
        <v>48</v>
      </c>
      <c r="AK14" s="189">
        <f t="shared" si="8"/>
        <v>0</v>
      </c>
      <c r="AL14" s="189">
        <f t="shared" si="8"/>
        <v>0</v>
      </c>
      <c r="AM14" s="189">
        <f t="shared" si="8"/>
        <v>0</v>
      </c>
      <c r="AN14" s="189">
        <f t="shared" si="8"/>
        <v>0</v>
      </c>
      <c r="AO14" s="189">
        <f t="shared" si="8"/>
        <v>5</v>
      </c>
      <c r="AP14" s="189">
        <f t="shared" si="8"/>
        <v>4</v>
      </c>
      <c r="AQ14" s="189">
        <f t="shared" si="8"/>
        <v>4</v>
      </c>
      <c r="AR14" s="189">
        <f t="shared" si="8"/>
        <v>4</v>
      </c>
      <c r="AS14" s="189">
        <f t="shared" si="8"/>
        <v>0</v>
      </c>
      <c r="AT14" s="189">
        <f t="shared" si="8"/>
        <v>0</v>
      </c>
      <c r="AU14" s="209"/>
      <c r="AV14" s="134"/>
      <c r="AW14" s="209"/>
      <c r="AX14" s="134"/>
      <c r="AY14" s="189">
        <f>SUBTOTAL(9,AY8:AY13)</f>
        <v>1175</v>
      </c>
      <c r="AZ14" s="189">
        <f>SUBTOTAL(9,AZ8:AZ13)</f>
        <v>589</v>
      </c>
      <c r="BA14" s="189">
        <f>SUBTOTAL(9,BA8:BA13)</f>
        <v>484</v>
      </c>
      <c r="BB14" s="189">
        <f>SUBTOTAL(9,BB8:BB13)</f>
        <v>1278</v>
      </c>
      <c r="BC14" s="189">
        <f>SUBTOTAL(9,BC8:BC13)</f>
        <v>180</v>
      </c>
      <c r="BD14" s="210">
        <f>IF(ISNUMBER(BA14/AZ14),BA14/AZ14," - ")</f>
        <v>0.82173174872665533</v>
      </c>
      <c r="BE14" s="211">
        <f>IF(ISNUMBER(BB14/BA14),BB14/BA14, " - ")</f>
        <v>2.6404958677685952</v>
      </c>
      <c r="BF14" s="211">
        <f>IF(ISNUMBER(BC14/BA14),BC14/BA14, " - ")</f>
        <v>0.37190082644628097</v>
      </c>
      <c r="BG14" s="212">
        <f>IF(ISNUMBER((AY14+AZ14)/BA14),(AY14+AZ14)/BA14," - ")</f>
        <v>3.6446280991735538</v>
      </c>
      <c r="BH14" s="145">
        <f>SUBTOTAL(9,BH8:BH13)</f>
        <v>5</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1383</v>
      </c>
      <c r="J17" s="188">
        <v>581</v>
      </c>
      <c r="K17" s="188">
        <v>600</v>
      </c>
      <c r="L17" s="188">
        <v>1365</v>
      </c>
      <c r="M17" s="188">
        <v>120</v>
      </c>
      <c r="N17" s="188">
        <v>273</v>
      </c>
      <c r="O17" s="186">
        <v>0</v>
      </c>
      <c r="P17" s="188">
        <v>50</v>
      </c>
      <c r="Q17" s="188">
        <v>41</v>
      </c>
      <c r="R17" s="188">
        <v>175</v>
      </c>
      <c r="S17" s="188">
        <v>1238</v>
      </c>
      <c r="T17" s="188">
        <v>720</v>
      </c>
      <c r="U17" s="188">
        <v>688</v>
      </c>
      <c r="V17" s="188">
        <v>1272</v>
      </c>
      <c r="W17" s="188">
        <v>166</v>
      </c>
      <c r="X17" s="194">
        <v>271</v>
      </c>
      <c r="Y17" s="207">
        <v>0</v>
      </c>
      <c r="Z17" s="188">
        <v>0</v>
      </c>
      <c r="AA17" s="188">
        <v>0</v>
      </c>
      <c r="AB17" s="188">
        <v>0</v>
      </c>
      <c r="AC17" s="188">
        <v>9</v>
      </c>
      <c r="AD17" s="188">
        <v>5</v>
      </c>
      <c r="AE17" s="188">
        <v>7</v>
      </c>
      <c r="AF17" s="194">
        <v>7</v>
      </c>
      <c r="AG17" s="207">
        <v>0</v>
      </c>
      <c r="AH17" s="188">
        <v>0</v>
      </c>
      <c r="AI17" s="188">
        <v>0</v>
      </c>
      <c r="AJ17" s="208">
        <v>0</v>
      </c>
      <c r="AK17" s="187">
        <v>12</v>
      </c>
      <c r="AL17" s="188">
        <v>0</v>
      </c>
      <c r="AM17" s="188">
        <v>1</v>
      </c>
      <c r="AN17" s="194">
        <v>11</v>
      </c>
      <c r="AO17" s="264">
        <v>4</v>
      </c>
      <c r="AP17" s="160">
        <v>4</v>
      </c>
      <c r="AQ17" s="160">
        <v>4</v>
      </c>
      <c r="AR17" s="160">
        <v>4</v>
      </c>
      <c r="AS17" s="350" t="s">
        <v>545</v>
      </c>
      <c r="AT17" s="208"/>
      <c r="AU17" s="207"/>
      <c r="AV17" s="208"/>
      <c r="AW17" s="207"/>
      <c r="AX17" s="208"/>
      <c r="AY17" s="128">
        <f t="shared" si="10"/>
        <v>1238</v>
      </c>
      <c r="AZ17" s="129">
        <f t="shared" si="10"/>
        <v>720</v>
      </c>
      <c r="BA17" s="129">
        <f t="shared" si="10"/>
        <v>688</v>
      </c>
      <c r="BB17" s="129">
        <f t="shared" si="10"/>
        <v>1272</v>
      </c>
      <c r="BC17" s="127">
        <f>IF(ISNUMBER(W17),W17," - ")</f>
        <v>166</v>
      </c>
      <c r="BD17" s="128">
        <f t="shared" ref="BD17:BD19" si="12">IF(ISNUMBER(BA17/AZ17),BA17/AZ17," - ")</f>
        <v>0.9555555555555556</v>
      </c>
      <c r="BE17" s="129">
        <f t="shared" ref="BE17:BE19" si="13">IF(ISNUMBER(BB17/BA17),BB17/BA17, " - ")</f>
        <v>1.8488372093023255</v>
      </c>
      <c r="BF17" s="129">
        <f t="shared" ref="BF17:BF19" si="14">IF(ISNUMBER(BC17/BA17),BC17/BA17, " - ")</f>
        <v>0.24127906976744187</v>
      </c>
      <c r="BG17" s="201">
        <f t="shared" si="11"/>
        <v>2.8459302325581395</v>
      </c>
      <c r="BH17" s="160">
        <v>4</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138</v>
      </c>
      <c r="J18" s="188">
        <v>58</v>
      </c>
      <c r="K18" s="188">
        <v>60</v>
      </c>
      <c r="L18" s="188">
        <v>136</v>
      </c>
      <c r="M18" s="188">
        <v>14</v>
      </c>
      <c r="N18" s="188">
        <v>20</v>
      </c>
      <c r="O18" s="188">
        <v>0</v>
      </c>
      <c r="P18" s="188">
        <v>0</v>
      </c>
      <c r="Q18" s="188">
        <v>0</v>
      </c>
      <c r="R18" s="188">
        <v>0</v>
      </c>
      <c r="S18" s="188">
        <v>88</v>
      </c>
      <c r="T18" s="188">
        <v>76</v>
      </c>
      <c r="U18" s="188">
        <v>71</v>
      </c>
      <c r="V18" s="188">
        <v>93</v>
      </c>
      <c r="W18" s="188">
        <v>8</v>
      </c>
      <c r="X18" s="194">
        <v>23</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88</v>
      </c>
      <c r="AZ18" s="131">
        <f t="shared" si="15"/>
        <v>76</v>
      </c>
      <c r="BA18" s="131">
        <f t="shared" si="15"/>
        <v>71</v>
      </c>
      <c r="BB18" s="131">
        <f t="shared" si="15"/>
        <v>93</v>
      </c>
      <c r="BC18" s="127">
        <f>IF(ISNUMBER(W18),W18," - ")</f>
        <v>8</v>
      </c>
      <c r="BD18" s="128">
        <f>IF(ISNUMBER(BA18/AZ18),BA18/AZ18," - ")</f>
        <v>0.93421052631578949</v>
      </c>
      <c r="BE18" s="129">
        <f>IF(ISNUMBER(BB18/BA18),BB18/BA18, " - ")</f>
        <v>1.3098591549295775</v>
      </c>
      <c r="BF18" s="129">
        <f>IF(ISNUMBER(BC18/BA18),BC18/BA18, " - ")</f>
        <v>0.11267605633802817</v>
      </c>
      <c r="BG18" s="201">
        <f>IF(ISNUMBER((AY18+AZ18)/BA18),(AY18+AZ18)/BA18," - ")</f>
        <v>2.3098591549295775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1521</v>
      </c>
      <c r="J20" s="189">
        <f t="shared" si="16"/>
        <v>639</v>
      </c>
      <c r="K20" s="189">
        <f t="shared" si="16"/>
        <v>660</v>
      </c>
      <c r="L20" s="189">
        <f t="shared" si="16"/>
        <v>1501</v>
      </c>
      <c r="M20" s="189">
        <f t="shared" si="16"/>
        <v>134</v>
      </c>
      <c r="N20" s="189">
        <f t="shared" si="16"/>
        <v>293</v>
      </c>
      <c r="O20" s="189">
        <f t="shared" si="16"/>
        <v>0</v>
      </c>
      <c r="P20" s="189">
        <f t="shared" si="16"/>
        <v>50</v>
      </c>
      <c r="Q20" s="189">
        <f t="shared" si="16"/>
        <v>41</v>
      </c>
      <c r="R20" s="189">
        <f t="shared" si="16"/>
        <v>175</v>
      </c>
      <c r="S20" s="189">
        <f t="shared" si="16"/>
        <v>1326</v>
      </c>
      <c r="T20" s="189">
        <f t="shared" si="16"/>
        <v>796</v>
      </c>
      <c r="U20" s="189">
        <f t="shared" si="16"/>
        <v>759</v>
      </c>
      <c r="V20" s="189">
        <f t="shared" si="16"/>
        <v>1365</v>
      </c>
      <c r="W20" s="189">
        <f t="shared" si="16"/>
        <v>174</v>
      </c>
      <c r="X20" s="189">
        <f t="shared" si="16"/>
        <v>294</v>
      </c>
      <c r="Y20" s="189">
        <f t="shared" si="16"/>
        <v>0</v>
      </c>
      <c r="Z20" s="189">
        <f t="shared" si="16"/>
        <v>0</v>
      </c>
      <c r="AA20" s="189">
        <f t="shared" si="16"/>
        <v>0</v>
      </c>
      <c r="AB20" s="189">
        <f t="shared" si="16"/>
        <v>0</v>
      </c>
      <c r="AC20" s="189">
        <f t="shared" si="16"/>
        <v>9</v>
      </c>
      <c r="AD20" s="189">
        <f t="shared" si="16"/>
        <v>5</v>
      </c>
      <c r="AE20" s="189">
        <f t="shared" si="16"/>
        <v>7</v>
      </c>
      <c r="AF20" s="189">
        <f t="shared" si="16"/>
        <v>7</v>
      </c>
      <c r="AG20" s="189">
        <f t="shared" si="16"/>
        <v>0</v>
      </c>
      <c r="AH20" s="189">
        <f t="shared" si="16"/>
        <v>0</v>
      </c>
      <c r="AI20" s="189">
        <f t="shared" si="16"/>
        <v>0</v>
      </c>
      <c r="AJ20" s="189">
        <f t="shared" si="16"/>
        <v>0</v>
      </c>
      <c r="AK20" s="189">
        <f t="shared" si="16"/>
        <v>12</v>
      </c>
      <c r="AL20" s="189">
        <f t="shared" si="16"/>
        <v>0</v>
      </c>
      <c r="AM20" s="189">
        <f t="shared" si="16"/>
        <v>1</v>
      </c>
      <c r="AN20" s="189">
        <f t="shared" si="16"/>
        <v>11</v>
      </c>
      <c r="AO20" s="189">
        <f t="shared" si="16"/>
        <v>5</v>
      </c>
      <c r="AP20" s="189">
        <f t="shared" si="16"/>
        <v>4</v>
      </c>
      <c r="AQ20" s="189">
        <f t="shared" si="16"/>
        <v>4</v>
      </c>
      <c r="AR20" s="189">
        <f t="shared" si="16"/>
        <v>4</v>
      </c>
      <c r="AS20" s="189">
        <f t="shared" si="16"/>
        <v>0</v>
      </c>
      <c r="AT20" s="189">
        <f t="shared" si="16"/>
        <v>0</v>
      </c>
      <c r="AU20" s="209"/>
      <c r="AV20" s="134"/>
      <c r="AW20" s="209"/>
      <c r="AX20" s="134"/>
      <c r="AY20" s="189">
        <f>SUBTOTAL(9,AY15:AY19)</f>
        <v>1326</v>
      </c>
      <c r="AZ20" s="189">
        <f>SUBTOTAL(9,AZ15:AZ19)</f>
        <v>796</v>
      </c>
      <c r="BA20" s="189">
        <f>SUBTOTAL(9,BA15:BA19)</f>
        <v>759</v>
      </c>
      <c r="BB20" s="189">
        <f>SUBTOTAL(9,BB15:BB19)</f>
        <v>1365</v>
      </c>
      <c r="BC20" s="189">
        <f>SUBTOTAL(9,BC15:BC19)</f>
        <v>174</v>
      </c>
      <c r="BD20" s="210">
        <f>IF(ISNUMBER(BA20/AZ20),BA20/AZ20," - ")</f>
        <v>0.95351758793969854</v>
      </c>
      <c r="BE20" s="211">
        <f>IF(ISNUMBER(BB20/BA20),BB20/BA20, " - ")</f>
        <v>1.7984189723320159</v>
      </c>
      <c r="BF20" s="211">
        <f>IF(ISNUMBER(BC20/BA20),BC20/BA20, " - ")</f>
        <v>0.22924901185770752</v>
      </c>
      <c r="BG20" s="212">
        <f>IF(ISNUMBER((AY20+AZ20)/BA20),(AY20+AZ20)/BA20," - ")</f>
        <v>2.795783926218709</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2915</v>
      </c>
      <c r="J21" s="136">
        <f t="shared" si="19"/>
        <v>1135</v>
      </c>
      <c r="K21" s="136">
        <f t="shared" si="19"/>
        <v>1169</v>
      </c>
      <c r="L21" s="136">
        <f t="shared" si="19"/>
        <v>2853</v>
      </c>
      <c r="M21" s="136">
        <f t="shared" si="19"/>
        <v>302</v>
      </c>
      <c r="N21" s="136">
        <f t="shared" si="19"/>
        <v>465</v>
      </c>
      <c r="O21" s="136">
        <f t="shared" si="19"/>
        <v>225</v>
      </c>
      <c r="P21" s="136">
        <f t="shared" si="19"/>
        <v>151</v>
      </c>
      <c r="Q21" s="136">
        <f t="shared" si="19"/>
        <v>184</v>
      </c>
      <c r="R21" s="136">
        <f t="shared" si="19"/>
        <v>1257</v>
      </c>
      <c r="S21" s="136">
        <f t="shared" si="19"/>
        <v>2446</v>
      </c>
      <c r="T21" s="136">
        <f t="shared" si="19"/>
        <v>1341</v>
      </c>
      <c r="U21" s="136">
        <f t="shared" si="19"/>
        <v>1192</v>
      </c>
      <c r="V21" s="136">
        <f t="shared" si="19"/>
        <v>2595</v>
      </c>
      <c r="W21" s="136">
        <f t="shared" si="19"/>
        <v>289</v>
      </c>
      <c r="X21" s="136">
        <f t="shared" si="19"/>
        <v>472</v>
      </c>
      <c r="Y21" s="136">
        <f t="shared" si="19"/>
        <v>66</v>
      </c>
      <c r="Z21" s="136">
        <f t="shared" si="19"/>
        <v>39</v>
      </c>
      <c r="AA21" s="136">
        <f t="shared" si="19"/>
        <v>36</v>
      </c>
      <c r="AB21" s="136">
        <f t="shared" si="19"/>
        <v>69</v>
      </c>
      <c r="AC21" s="136">
        <f t="shared" si="19"/>
        <v>9</v>
      </c>
      <c r="AD21" s="136">
        <f t="shared" si="19"/>
        <v>5</v>
      </c>
      <c r="AE21" s="136">
        <f t="shared" si="19"/>
        <v>7</v>
      </c>
      <c r="AF21" s="136">
        <f t="shared" si="19"/>
        <v>7</v>
      </c>
      <c r="AG21" s="136">
        <f t="shared" si="19"/>
        <v>55</v>
      </c>
      <c r="AH21" s="136">
        <f t="shared" si="19"/>
        <v>44</v>
      </c>
      <c r="AI21" s="136">
        <f t="shared" si="19"/>
        <v>51</v>
      </c>
      <c r="AJ21" s="136">
        <f t="shared" si="19"/>
        <v>48</v>
      </c>
      <c r="AK21" s="136">
        <f t="shared" si="19"/>
        <v>12</v>
      </c>
      <c r="AL21" s="136">
        <f t="shared" si="19"/>
        <v>0</v>
      </c>
      <c r="AM21" s="136">
        <f t="shared" si="19"/>
        <v>1</v>
      </c>
      <c r="AN21" s="215">
        <f t="shared" si="19"/>
        <v>11</v>
      </c>
      <c r="AO21" s="216">
        <v>5</v>
      </c>
      <c r="AP21" s="216">
        <v>4</v>
      </c>
      <c r="AQ21" s="216">
        <v>4</v>
      </c>
      <c r="AR21" s="216">
        <v>4</v>
      </c>
      <c r="AS21" s="158">
        <f t="shared" si="19"/>
        <v>0</v>
      </c>
      <c r="AT21" s="158">
        <f t="shared" si="19"/>
        <v>0</v>
      </c>
      <c r="AU21" s="216"/>
      <c r="AV21" s="217"/>
      <c r="AW21" s="216"/>
      <c r="AX21" s="217"/>
      <c r="AY21" s="135">
        <f>SUBTOTAL(9,AY9:AY20)</f>
        <v>2501</v>
      </c>
      <c r="AZ21" s="136">
        <f>SUBTOTAL(9,AZ9:AZ20)</f>
        <v>1385</v>
      </c>
      <c r="BA21" s="136">
        <f>SUBTOTAL(9,BA9:BA20)</f>
        <v>1243</v>
      </c>
      <c r="BB21" s="136">
        <f>SUBTOTAL(9,BB9:BB20)</f>
        <v>2643</v>
      </c>
      <c r="BC21" s="137">
        <f>SUBTOTAL(9,BC9:BC20)</f>
        <v>354</v>
      </c>
      <c r="BD21" s="218">
        <f>IF(ISNUMBER(BA21/AZ21),BA21/AZ21," - ")</f>
        <v>0.89747292418772562</v>
      </c>
      <c r="BE21" s="215">
        <f>IF(ISNUMBER(BB21/BA21),BB21/BA21, " - ")</f>
        <v>2.1263073209975865</v>
      </c>
      <c r="BF21" s="215">
        <f>IF(ISNUMBER(BC21/BA21),BC21/BA21, " - ")</f>
        <v>0.28479485116653258</v>
      </c>
      <c r="BG21" s="137">
        <f>IF(ISNUMBER((AY21+AZ21)/BA21),(AY21+AZ21)/BA21," - ")</f>
        <v>3.1263073209975865</v>
      </c>
      <c r="BH21" s="216">
        <f>SUBTOTAL(9,BH9:BH20)</f>
        <v>10</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I/EpMcOxLN0nBokm+Bkf6PV0y31bKdKGi0/TVoL/qRdH+wHJIMuZNsgLSSft2cjPoAfdMnv2OGUPyUJm14OQdQ==" saltValue="mPnmEnnyyGkhHqNCrUfPI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LmQ7ODQA10s9VPgWBBg3TadgUURJqblP6ocO2F8u/wQviErDr9dzRYqzqtUUgbxf2YXaRVXEKb81tQ6tQ923fA==" saltValue="uXdSVjE4zqkwEjgIImP8P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PAIS VASCO</v>
      </c>
      <c r="F1" s="532"/>
    </row>
    <row r="2" spans="1:74" ht="16.5" customHeight="1">
      <c r="C2" s="521" t="str">
        <f>Criterios!A10 &amp;"  "&amp;Criterios!B10 &amp; "  " &amp; IF(NOT(ISBLANK(Criterios!A11)),Criterios!A11 &amp;"  "&amp;Criterios!B11,"")</f>
        <v>Provincias  GIPUZKOA  Resumenes por Partidos Judiciales  TOLOSA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53</v>
      </c>
      <c r="G10" s="498">
        <f>IF(ISNUMBER(Datos!I10),Datos!I10," - ")</f>
        <v>38</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14</v>
      </c>
      <c r="AC10" s="502">
        <f>IF(ISNUMBER(Datos!Q10),Datos!Q10," - ")</f>
        <v>0</v>
      </c>
      <c r="AD10" s="504"/>
      <c r="AE10" s="517"/>
      <c r="AF10" s="506">
        <f>IF(ISNUMBER(Datos!L10),Datos!L10,"-")</f>
        <v>51</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8</v>
      </c>
      <c r="BD10" s="620">
        <f>IF(ISNUMBER(Datos!N10),Datos!N10," - ")</f>
        <v>3</v>
      </c>
      <c r="BE10" s="620" t="str">
        <f>IF(ISNUMBER(Datos!BW10),Datos!BW10," - ")</f>
        <v xml:space="preserve"> - </v>
      </c>
      <c r="BF10" s="668" t="str">
        <f>IF(ISNUMBER(Datos!BX10),Datos!BX10," - ")</f>
        <v xml:space="preserve"> - </v>
      </c>
      <c r="BG10" s="669">
        <f>IF(ISNUMBER(Datos!K10/Datos!J10),Datos!K10/Datos!J10," - ")</f>
        <v>1.1666666666666667</v>
      </c>
      <c r="BH10" s="670">
        <f>IF(ISNUMBER(((Datos!L10/Datos!K10)*11)/factor_trimestre),((Datos!L10/Datos!K10)*11)/factor_trimestre," - ")</f>
        <v>10.928571428571429</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4</v>
      </c>
      <c r="B12" s="654" t="s">
        <v>273</v>
      </c>
      <c r="C12" s="655" t="str">
        <f>Datos!A12</f>
        <v xml:space="preserve">Jdos. 1ª Instª. e Instr.                        </v>
      </c>
      <c r="D12" s="549"/>
      <c r="E12" s="670">
        <f>IF(ISNUMBER(Datos!AQ12),Datos!AQ12," - ")</f>
        <v>4</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39</v>
      </c>
      <c r="O12" s="504"/>
      <c r="P12" s="504"/>
      <c r="Q12" s="502">
        <f>IF(ISNUMBER(Datos!P12),Datos!P12,0)</f>
        <v>101</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143</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69</v>
      </c>
      <c r="AI12" s="504" t="str">
        <f>IF(ISNUMBER(Datos!CD12),Datos!CD12,"-")</f>
        <v>-</v>
      </c>
      <c r="AJ12" s="504" t="str">
        <f>IF(ISNUMBER(Datos!EN12),Datos!EN12," - ")</f>
        <v xml:space="preserve"> - </v>
      </c>
      <c r="AK12" s="504"/>
      <c r="AL12" s="505"/>
      <c r="AM12" s="672">
        <f>IF(ISNUMBER(Datos!R12),Datos!R12," - ")</f>
        <v>1082</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160</v>
      </c>
      <c r="BD12" s="620">
        <f>IF(ISNUMBER(Datos!N12),Datos!N12," - ")</f>
        <v>169</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1.0152963671128108</v>
      </c>
      <c r="BH12" s="670">
        <f>IF(ISNUMBER(((IF(J_V="SI",Datos!L12/Datos!K12,(Datos!L12+Datos!AB12)/(Datos!K12+Datos!AA12)))*11)/factor_trimestre),((IF(J_V="SI",Datos!L12/Datos!K12,(Datos!L12+Datos!AB12)/(Datos!K12+Datos!AA12)))*11)/factor_trimestre," - ")</f>
        <v>7.7401129943502829</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-3.7366548042704624E-2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4</v>
      </c>
      <c r="F14" s="1045">
        <f t="shared" si="1"/>
        <v>53</v>
      </c>
      <c r="G14" s="1045">
        <f t="shared" si="1"/>
        <v>38</v>
      </c>
      <c r="H14" s="1046">
        <f t="shared" si="1"/>
        <v>0</v>
      </c>
      <c r="I14" s="1045">
        <f t="shared" si="1"/>
        <v>0</v>
      </c>
      <c r="J14" s="1014">
        <f t="shared" si="1"/>
        <v>0</v>
      </c>
      <c r="K14" s="1014">
        <f t="shared" si="1"/>
        <v>0</v>
      </c>
      <c r="L14" s="1046">
        <f t="shared" si="1"/>
        <v>0</v>
      </c>
      <c r="M14" s="1046">
        <f t="shared" si="1"/>
        <v>0</v>
      </c>
      <c r="N14" s="1046">
        <f t="shared" si="1"/>
        <v>39</v>
      </c>
      <c r="O14" s="1047">
        <f t="shared" si="1"/>
        <v>0</v>
      </c>
      <c r="P14" s="1047">
        <f t="shared" si="1"/>
        <v>0</v>
      </c>
      <c r="Q14" s="1046">
        <f t="shared" si="1"/>
        <v>101</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14</v>
      </c>
      <c r="AC14" s="1046">
        <f t="shared" si="2"/>
        <v>143</v>
      </c>
      <c r="AD14" s="1046">
        <f t="shared" si="2"/>
        <v>0</v>
      </c>
      <c r="AE14" s="1046">
        <f t="shared" si="2"/>
        <v>0</v>
      </c>
      <c r="AF14" s="1046">
        <f t="shared" si="2"/>
        <v>51</v>
      </c>
      <c r="AG14" s="1046">
        <f t="shared" si="2"/>
        <v>0</v>
      </c>
      <c r="AH14" s="1046">
        <f t="shared" si="2"/>
        <v>69</v>
      </c>
      <c r="AI14" s="1046">
        <f t="shared" si="2"/>
        <v>0</v>
      </c>
      <c r="AJ14" s="1046">
        <f t="shared" si="2"/>
        <v>0</v>
      </c>
      <c r="AK14" s="1046">
        <f t="shared" si="2"/>
        <v>0</v>
      </c>
      <c r="AL14" s="1046">
        <f t="shared" si="2"/>
        <v>0</v>
      </c>
      <c r="AM14" s="1046">
        <f t="shared" si="2"/>
        <v>1082</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168</v>
      </c>
      <c r="BD14" s="1046">
        <f t="shared" si="2"/>
        <v>172</v>
      </c>
      <c r="BE14" s="1046">
        <f t="shared" si="2"/>
        <v>0</v>
      </c>
      <c r="BF14" s="1046">
        <f t="shared" si="2"/>
        <v>0</v>
      </c>
      <c r="BG14" s="1046">
        <f>IF(ISNUMBER(Datos!K14/Datos!J14),Datos!K14/Datos!J14," - ")</f>
        <v>1.0262096774193548</v>
      </c>
      <c r="BH14" s="1050">
        <f>IF(ISNUMBER(((Datos!L14/Datos!K14)*11)/factor_trimestre),((Datos!L14/Datos!K14)*11)/factor_trimestre," - ")</f>
        <v>7.9685658153241654</v>
      </c>
      <c r="BI14" s="1046">
        <f>IF(ISNUMBER('Resol  Asuntos'!D14/NºAsuntos!G14),'Resol  Asuntos'!D14/NºAsuntos!G14," - ")</f>
        <v>0.30825688073394497</v>
      </c>
      <c r="BJ14" s="1046" t="str">
        <f>IF(ISNUMBER(Datos!CI14/Datos!CJ14),Datos!CI14/Datos!CJ14," - ")</f>
        <v xml:space="preserve"> - </v>
      </c>
      <c r="BK14" s="1046">
        <f>SUBTOTAL(9,BK8:BK13)</f>
        <v>0</v>
      </c>
      <c r="BL14" s="1046">
        <f>IF(ISNUMBER((I14-AB14+L14)/(F14)),(I14-AB14+L14)/(F14)," - ")</f>
        <v>-0.26415094339622641</v>
      </c>
      <c r="BM14" s="1051">
        <f>SUBTOTAL(9,BM9:BM13)</f>
        <v>-3.7366548042704624E-2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4</v>
      </c>
      <c r="B17" s="647" t="s">
        <v>437</v>
      </c>
      <c r="C17" s="657" t="str">
        <f>Datos!A17</f>
        <v xml:space="preserve">Jdos. 1ª Instª. e Instr.                        </v>
      </c>
      <c r="D17" s="658"/>
      <c r="E17" s="1334">
        <f>IF(ISNUMBER(Datos!AQ17),Datos!AQ17," - ")</f>
        <v>4</v>
      </c>
      <c r="F17" s="648">
        <f>IF(ISNUMBER(AF17+AB17-Datos!J17-L17),AF17+AB17-Datos!J17-L17," - ")</f>
        <v>1384</v>
      </c>
      <c r="G17" s="651">
        <f>IF(ISNUMBER(IF(D_I="SI",Datos!I17,Datos!I17+Datos!AC17)),IF(D_I="SI",Datos!I17,Datos!I17+Datos!AC17)," - ")</f>
        <v>1383</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50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600</v>
      </c>
      <c r="AC17" s="231">
        <f>IF(ISNUMBER(Datos!Q17),Datos!Q17," - ")</f>
        <v>41</v>
      </c>
      <c r="AD17" s="344"/>
      <c r="AE17" s="516"/>
      <c r="AF17" s="649">
        <f>IF(ISNUMBER(IF(D_I="SI",Datos!L17,Datos!L17+Datos!AF17)),IF(D_I="SI",Datos!L17,Datos!L17+Datos!AF17)," - ")</f>
        <v>1365</v>
      </c>
      <c r="AG17" s="344"/>
      <c r="AH17" s="344"/>
      <c r="AI17" s="344"/>
      <c r="AJ17" s="504"/>
      <c r="AK17" s="344"/>
      <c r="AL17" s="500"/>
      <c r="AM17" s="345">
        <f>IF(ISNUMBER(Datos!R17),Datos!R17," - ")</f>
        <v>175</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120</v>
      </c>
      <c r="BD17" s="234">
        <f>IF(ISNUMBER(Datos!N17),Datos!N17," - ")</f>
        <v>273</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1.0327022375215147</v>
      </c>
      <c r="BH17" s="670">
        <f>IF(ISNUMBER(((IF(D_I="SI",Datos!L17/Datos!K17,(Datos!L17+Datos!AF17)/(Datos!K17+Datos!AE17)))*11)/factor_trimestre),((IF(D_I="SI",Datos!L17/Datos!K17,(Datos!L17+Datos!AF17)/(Datos!K17+Datos!AE17)))*11)/factor_trimestre," - ")</f>
        <v>6.8250000000000002</v>
      </c>
      <c r="BI17" s="248">
        <f>IF(ISNUMBER('Resol  Asuntos'!D17/NºAsuntos!G17),'Resol  Asuntos'!D17/NºAsuntos!G17," - ")</f>
        <v>0.2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138</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60</v>
      </c>
      <c r="AC18" s="502">
        <f>IF(ISNUMBER(Datos!Q18),Datos!Q18," - ")</f>
        <v>0</v>
      </c>
      <c r="AD18" s="504"/>
      <c r="AE18" s="516"/>
      <c r="AF18" s="506">
        <f>IF(ISNUMBER(Datos!L18),Datos!L18,"-")</f>
        <v>136</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14</v>
      </c>
      <c r="BD18" s="620">
        <f>IF(ISNUMBER(Datos!N18),Datos!N18," - ")</f>
        <v>20</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1.0344827586206897</v>
      </c>
      <c r="BH18" s="670">
        <f>IF(ISNUMBER(((IF(D_I="SI",Datos!L18/Datos!K18,(Datos!L18+Datos!AF18)/(Datos!K18+Datos!AE18)))*11)/factor_trimestre),((IF(D_I="SI",Datos!L18/Datos!K18,(Datos!L18+Datos!AF18)/(Datos!K18+Datos!AE18)))*11)/factor_trimestre," - ")</f>
        <v>6.8000000000000007</v>
      </c>
      <c r="BI18" s="669">
        <f>IF(ISNUMBER('Resol  Asuntos'!D18/NºAsuntos!G18),'Resol  Asuntos'!D18/NºAsuntos!G18," - ")</f>
        <v>0.23333333333333334</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4</v>
      </c>
      <c r="F20" s="1045">
        <f>SUBTOTAL(9,F16:F19)</f>
        <v>1384</v>
      </c>
      <c r="G20" s="1045">
        <f>SUBTOTAL(9,G16:G19)</f>
        <v>1521</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50</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660</v>
      </c>
      <c r="AC20" s="1046">
        <f t="shared" si="5"/>
        <v>41</v>
      </c>
      <c r="AD20" s="1046">
        <f t="shared" si="5"/>
        <v>0</v>
      </c>
      <c r="AE20" s="1046">
        <f t="shared" si="5"/>
        <v>0</v>
      </c>
      <c r="AF20" s="1046">
        <f t="shared" si="5"/>
        <v>1501</v>
      </c>
      <c r="AG20" s="1046">
        <f t="shared" si="5"/>
        <v>0</v>
      </c>
      <c r="AH20" s="1046">
        <f t="shared" si="5"/>
        <v>0</v>
      </c>
      <c r="AI20" s="1046">
        <f t="shared" si="5"/>
        <v>0</v>
      </c>
      <c r="AJ20" s="1046">
        <f t="shared" si="5"/>
        <v>0</v>
      </c>
      <c r="AK20" s="1046">
        <f t="shared" si="5"/>
        <v>0</v>
      </c>
      <c r="AL20" s="1046">
        <f t="shared" si="5"/>
        <v>0</v>
      </c>
      <c r="AM20" s="1046">
        <f t="shared" si="5"/>
        <v>175</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134</v>
      </c>
      <c r="BD20" s="1046">
        <f t="shared" si="5"/>
        <v>293</v>
      </c>
      <c r="BE20" s="1046">
        <f t="shared" si="5"/>
        <v>0</v>
      </c>
      <c r="BF20" s="1046">
        <f t="shared" si="5"/>
        <v>0</v>
      </c>
      <c r="BG20" s="1046">
        <f>IF(ISNUMBER(Datos!K20/Datos!J20),Datos!K20/Datos!J20," - ")</f>
        <v>1.0328638497652582</v>
      </c>
      <c r="BH20" s="1050">
        <f>IF(ISNUMBER(((Datos!L20/Datos!K20)*11)/factor_trimestre),((Datos!L20/Datos!K20)*11)/factor_trimestre," - ")</f>
        <v>6.8227272727272741</v>
      </c>
      <c r="BI20" s="1046">
        <f>SUBTOTAL(9,BI16:BI19)</f>
        <v>0.43333333333333335</v>
      </c>
      <c r="BJ20" s="1046">
        <f>SUBTOTAL(9,BJ16:BJ19)</f>
        <v>0</v>
      </c>
      <c r="BK20" s="1046">
        <f>SUBTOTAL(9,BK16:BK19)</f>
        <v>0</v>
      </c>
      <c r="BL20" s="1046">
        <f>IF(ISNUMBER((I20-AB20+L20)/(F20)),(I20-AB20+L20)/(F20)," - ")</f>
        <v>-0.47687861271676302</v>
      </c>
      <c r="BM20" s="1052">
        <f>IF(ISNUMBER((Datos!P20-Datos!Q20)/(Datos!R20-Datos!P20+Datos!Q20)),(Datos!P20-Datos!Q20)/(Datos!R20-Datos!P20+Datos!Q20)," - ")</f>
        <v>5.4216867469879519E-2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8</v>
      </c>
      <c r="F21" s="967">
        <f t="shared" si="7"/>
        <v>1437</v>
      </c>
      <c r="G21" s="967">
        <f t="shared" si="7"/>
        <v>1559</v>
      </c>
      <c r="H21" s="969">
        <f t="shared" si="7"/>
        <v>0</v>
      </c>
      <c r="I21" s="967">
        <f t="shared" si="7"/>
        <v>0</v>
      </c>
      <c r="J21" s="969">
        <f t="shared" si="7"/>
        <v>0</v>
      </c>
      <c r="K21" s="969">
        <f t="shared" si="7"/>
        <v>0</v>
      </c>
      <c r="L21" s="1028">
        <f t="shared" si="7"/>
        <v>0</v>
      </c>
      <c r="M21" s="1028">
        <f t="shared" si="7"/>
        <v>0</v>
      </c>
      <c r="N21" s="1028">
        <f t="shared" si="7"/>
        <v>39</v>
      </c>
      <c r="O21" s="1028">
        <f t="shared" si="7"/>
        <v>0</v>
      </c>
      <c r="P21" s="1028">
        <f t="shared" si="7"/>
        <v>0</v>
      </c>
      <c r="Q21" s="969">
        <f t="shared" si="7"/>
        <v>151</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674</v>
      </c>
      <c r="AC21" s="968">
        <f t="shared" si="8"/>
        <v>184</v>
      </c>
      <c r="AD21" s="968">
        <f t="shared" si="8"/>
        <v>0</v>
      </c>
      <c r="AE21" s="968">
        <f t="shared" si="8"/>
        <v>0</v>
      </c>
      <c r="AF21" s="975">
        <f t="shared" si="8"/>
        <v>1552</v>
      </c>
      <c r="AG21" s="975">
        <f t="shared" si="8"/>
        <v>0</v>
      </c>
      <c r="AH21" s="975">
        <f t="shared" si="8"/>
        <v>69</v>
      </c>
      <c r="AI21" s="975">
        <f t="shared" si="8"/>
        <v>0</v>
      </c>
      <c r="AJ21" s="968">
        <f t="shared" si="8"/>
        <v>0</v>
      </c>
      <c r="AK21" s="975">
        <f t="shared" si="8"/>
        <v>0</v>
      </c>
      <c r="AL21" s="975">
        <f t="shared" si="8"/>
        <v>0</v>
      </c>
      <c r="AM21" s="975">
        <f t="shared" si="8"/>
        <v>1257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302</v>
      </c>
      <c r="BD21" s="967">
        <f t="shared" si="8"/>
        <v>465</v>
      </c>
      <c r="BE21" s="967">
        <f t="shared" si="8"/>
        <v>0</v>
      </c>
      <c r="BF21" s="977">
        <f t="shared" si="8"/>
        <v>0</v>
      </c>
      <c r="BG21" s="1062">
        <f>IF(ISNUMBER(Datos!K21/Datos!J21),Datos!K21/Datos!J21," - ")</f>
        <v>1.0299559471365638</v>
      </c>
      <c r="BH21" s="1062">
        <f>IF(ISNUMBER(((Datos!L21/Datos!K21)*11)/factor_trimestre),((Datos!L21/Datos!K21)*11)/factor_trimestre," - ")</f>
        <v>7.3216424294268609</v>
      </c>
      <c r="BI21" s="960">
        <f>IF(ISNUMBER(Datos!J21/Datos!I21),Datos!J21/Datos!I21," - ")</f>
        <v>0.38936535162950259</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-0.46903270702853167</v>
      </c>
      <c r="BM21" s="1036">
        <f>IF(ISNUMBER((Datos!P21-Datos!Q21+R21)/(Datos!R21-Datos!P21+Datos!Q21-R21)),(Datos!P21-Datos!Q21+R21)/(Datos!R21-Datos!P21+Datos!Q21-R21)," - ")</f>
        <v>-2.5581395348837209E-2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623.6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2.018099916438052</v>
      </c>
      <c r="F23" s="600">
        <f>IF(ISNUMBER(STDEV(F8:F20)),STDEV(F8:F20),"-")</f>
        <v>768.45320829139189</v>
      </c>
      <c r="G23" s="601">
        <f>IF(ISNUMBER(STDEV(G8:G20)),STDEV(G8:G20),"-")</f>
        <v>758.89347078493176</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330.21629275370407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71.606331191219866</v>
      </c>
      <c r="BD23" s="600"/>
      <c r="BE23" s="600">
        <f>IF(ISNUMBER(STDEV(BE8:BE20)),STDEV(BE8:BE20),"-")</f>
        <v>0</v>
      </c>
      <c r="BF23" s="605">
        <f>IF(ISNUMBER(STDEV(BF8:BF20)),STDEV(BF8:BF20),"-")</f>
        <v>0</v>
      </c>
      <c r="BG23" s="915">
        <f>IF(ISNUMBER(STDEV(BG8:BG20)),STDEV(BG8:BG20),"-")</f>
        <v>5.6927694560642901E-2</v>
      </c>
      <c r="BH23" s="919">
        <f>IF(ISNUMBER(STDEV(BH8:BH20)),STDEV(BH8:BH20),"-")</f>
        <v>1.5944975190359658</v>
      </c>
      <c r="BI23" s="254">
        <f>IF(ISNUMBER(STDEV(BI8:BI20)),STDEV(BI8:BI20),"-")</f>
        <v>0.10349426905701019</v>
      </c>
      <c r="BJ23" s="235" t="str">
        <f>IF(ISNUMBER(BL23/BM23),BL23/BM23," - ")</f>
        <v xml:space="preserve"> - </v>
      </c>
      <c r="BK23" s="627"/>
      <c r="BL23" s="608">
        <f>IF(ISNUMBER(STDEV(BL8:BL20)),STDEV(BL8:BL20),"-")</f>
        <v>0.15042117752256104</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DQoJQyR6bfzrMANlyDyDXguI6NNFAzOXBrnw/G2ainIk1pZHDtm2bcQT6vm2aZESCFFKO0C+RttvQ2EogHICZw==" saltValue="eaxuZNAZ0kwgRIJ0Y5Mw5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PAIS VASCO</v>
      </c>
    </row>
    <row r="2" spans="1:73" ht="16.5" customHeight="1">
      <c r="C2" s="575" t="str">
        <f>Criterios!A10 &amp;"  "&amp;Criterios!B10 &amp; "  " &amp; IF(NOT(ISBLANK(Criterios!A11)),Criterios!A11 &amp;"  "&amp;Criterios!B11,"")</f>
        <v>Provincias  GIPUZKOA  Resumenes por Partidos Judiciales  TOLOSA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53</v>
      </c>
      <c r="G10" s="507">
        <f>IF(ISNUMBER(Datos!I10),Datos!I10," - ")</f>
        <v>38</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14</v>
      </c>
      <c r="Z10" s="704">
        <f>IF(ISNUMBER(Datos!Q10),Datos!Q10," - ")</f>
        <v>0</v>
      </c>
      <c r="AA10" s="506">
        <f>IF(ISNUMBER(Datos!L10),Datos!L10,"-")</f>
        <v>51</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8</v>
      </c>
      <c r="AK10" s="620">
        <f>IF(ISNUMBER(Datos!N10),Datos!N10," - ")</f>
        <v>3</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10.928571428571429</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4</v>
      </c>
      <c r="B12" s="654" t="s">
        <v>273</v>
      </c>
      <c r="C12" s="655" t="str">
        <f>Datos!A12</f>
        <v xml:space="preserve">Jdos. 1ª Instª. e Instr.                        </v>
      </c>
      <c r="D12" s="549"/>
      <c r="E12" s="1337">
        <f>IF(ISNUMBER(Datos!AQ12),Datos!AQ12," - ")</f>
        <v>4</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101</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143</v>
      </c>
      <c r="AA12" s="506" t="str">
        <f>IF(ISNUMBER(IF(J_V="SI",Datos!L12,Datos!L12+Datos!AB12)-IF(Monitorios="SI",Datos!CD12,0)),
                          IF(J_V="SI",Datos!L12,Datos!L12+Datos!AB12)-IF(Monitorios="SI",Datos!CD12,0),
                          " - ")</f>
        <v xml:space="preserve"> - </v>
      </c>
      <c r="AB12" s="504"/>
      <c r="AC12" s="504"/>
      <c r="AD12" s="517"/>
      <c r="AE12" s="517">
        <f>IF(ISNUMBER(Datos!R12),Datos!R12," - ")</f>
        <v>1082</v>
      </c>
      <c r="AF12" s="620" t="str">
        <f>IF(ISNUMBER(Datos!BV12),Datos!BV12," - ")</f>
        <v xml:space="preserve"> - </v>
      </c>
      <c r="AG12" s="507" t="str">
        <f>IF(ISNUMBER(Datos!DV12),Datos!DV12," - ")</f>
        <v xml:space="preserve"> - </v>
      </c>
      <c r="AH12" s="508"/>
      <c r="AI12" s="509"/>
      <c r="AJ12" s="507">
        <f>IF(ISNUMBER(Datos!M12),Datos!M12," - ")</f>
        <v>160</v>
      </c>
      <c r="AK12" s="620">
        <f>IF(ISNUMBER(Datos!N12),Datos!N12," - ")</f>
        <v>169</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7.7401129943502829</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-3.7366548042704624E-2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4</v>
      </c>
      <c r="F14" s="1045">
        <f>SUBTOTAL(9,F8:F13)</f>
        <v>53</v>
      </c>
      <c r="G14" s="1045">
        <f>SUBTOTAL(9,G8:G13)</f>
        <v>38</v>
      </c>
      <c r="H14" s="1055"/>
      <c r="I14" s="1045">
        <f t="shared" ref="I14:N14" si="1">SUBTOTAL(9,I8:I13)</f>
        <v>0</v>
      </c>
      <c r="J14" s="1014">
        <f t="shared" si="1"/>
        <v>0</v>
      </c>
      <c r="K14" s="1055">
        <f t="shared" si="1"/>
        <v>0</v>
      </c>
      <c r="L14" s="1055">
        <f t="shared" si="1"/>
        <v>0</v>
      </c>
      <c r="M14" s="1055">
        <f t="shared" si="1"/>
        <v>0</v>
      </c>
      <c r="N14" s="1055">
        <f t="shared" si="1"/>
        <v>101</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14</v>
      </c>
      <c r="Z14" s="1054">
        <f t="shared" si="3"/>
        <v>143</v>
      </c>
      <c r="AA14" s="1047">
        <f t="shared" si="3"/>
        <v>51</v>
      </c>
      <c r="AB14" s="1047">
        <f t="shared" si="3"/>
        <v>0</v>
      </c>
      <c r="AC14" s="1047">
        <f t="shared" si="3"/>
        <v>0</v>
      </c>
      <c r="AD14" s="1047">
        <f t="shared" si="3"/>
        <v>0</v>
      </c>
      <c r="AE14" s="1047">
        <f t="shared" si="3"/>
        <v>1082</v>
      </c>
      <c r="AF14" s="1055">
        <f t="shared" si="3"/>
        <v>0</v>
      </c>
      <c r="AG14" s="1055">
        <f t="shared" si="3"/>
        <v>0</v>
      </c>
      <c r="AH14" s="1055">
        <f t="shared" si="3"/>
        <v>0</v>
      </c>
      <c r="AI14" s="1055">
        <f t="shared" si="3"/>
        <v>0</v>
      </c>
      <c r="AJ14" s="1055">
        <f t="shared" si="3"/>
        <v>168</v>
      </c>
      <c r="AK14" s="1055">
        <f t="shared" si="3"/>
        <v>172</v>
      </c>
      <c r="AL14" s="1055">
        <f t="shared" si="3"/>
        <v>0</v>
      </c>
      <c r="AM14" s="1055">
        <f t="shared" si="3"/>
        <v>0</v>
      </c>
      <c r="AN14" s="1055">
        <f t="shared" si="3"/>
        <v>0</v>
      </c>
      <c r="AO14" s="1051">
        <f>IF(ISNUMBER(((NºAsuntos!I14/NºAsuntos!G14)*11)/factor_trimestre),((NºAsuntos!I14/NºAsuntos!G14)*11)/factor_trimestre," - ")</f>
        <v>7.8220183486238533</v>
      </c>
      <c r="AP14" s="1057" t="str">
        <f>IF(ISNUMBER(Datos!CI14/Datos!CJ14),Datos!CI14/Datos!CJ14," - ")</f>
        <v xml:space="preserve"> - </v>
      </c>
      <c r="AQ14" s="1075">
        <f t="shared" ref="AQ14:AV14" si="4">SUBTOTAL(9,AQ9:AQ13)</f>
        <v>0</v>
      </c>
      <c r="AR14" s="1075">
        <f t="shared" si="4"/>
        <v>-3.7366548042704624E-2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4</v>
      </c>
      <c r="B17" s="654" t="s">
        <v>437</v>
      </c>
      <c r="C17" s="671" t="str">
        <f>Datos!A17</f>
        <v xml:space="preserve">Jdos. 1ª Instª. e Instr.                        </v>
      </c>
      <c r="D17" s="544"/>
      <c r="E17" s="1337">
        <f>IF(ISNUMBER(Datos!AQ17),Datos!AQ17," - ")</f>
        <v>4</v>
      </c>
      <c r="F17" s="498">
        <f>IF(ISNUMBER(AA17+Y17-Datos!J17-K16),AA17+Y17-Datos!J17-K16," - ")</f>
        <v>1384</v>
      </c>
      <c r="G17" s="507">
        <f>IF(ISNUMBER(IF(D_I="SI",Datos!I17,Datos!I17+Datos!AC17)),IF(D_I="SI",Datos!I17,Datos!I17+Datos!AC17)," - ")</f>
        <v>1383</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50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600</v>
      </c>
      <c r="Z17" s="704">
        <f>IF(ISNUMBER(Datos!Q17),Datos!Q17," - ")</f>
        <v>41</v>
      </c>
      <c r="AA17" s="506">
        <f>IF(ISNUMBER(IF(D_I="SI",Datos!L17,Datos!L17+Datos!AF17)),IF(D_I="SI",Datos!L17,Datos!L17+Datos!AF17)," - ")</f>
        <v>1365</v>
      </c>
      <c r="AB17" s="504"/>
      <c r="AC17" s="504"/>
      <c r="AD17" s="517"/>
      <c r="AE17" s="517">
        <f>IF(ISNUMBER(Datos!R17),Datos!R17," - ")</f>
        <v>175</v>
      </c>
      <c r="AF17" s="620" t="str">
        <f>IF(ISNUMBER(Datos!BV17),Datos!BV17," - ")</f>
        <v xml:space="preserve"> - </v>
      </c>
      <c r="AG17" s="507"/>
      <c r="AH17" s="508"/>
      <c r="AI17" s="509"/>
      <c r="AJ17" s="507">
        <f>IF(ISNUMBER(Datos!M17),Datos!M17," - ")</f>
        <v>120</v>
      </c>
      <c r="AK17" s="620">
        <f>IF(ISNUMBER(Datos!N17),Datos!N17," - ")</f>
        <v>273</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6.8250000000000002</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138</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60</v>
      </c>
      <c r="Z18" s="704">
        <f>IF(ISNUMBER(Datos!Q18),Datos!Q18," - ")</f>
        <v>0</v>
      </c>
      <c r="AA18" s="506">
        <f>IF(ISNUMBER(Datos!L18),Datos!L18,"-")</f>
        <v>136</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14</v>
      </c>
      <c r="AK18" s="620">
        <f>IF(ISNUMBER(Datos!N18),Datos!N18," - ")</f>
        <v>20</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6.8000000000000007</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4</v>
      </c>
      <c r="F20" s="1045">
        <f>SUBTOTAL(9,F16:F19)</f>
        <v>1384</v>
      </c>
      <c r="G20" s="1045">
        <f>SUBTOTAL(9,G16:G19)</f>
        <v>1521</v>
      </c>
      <c r="H20" s="1079">
        <f>SUBTOTAL(9,H16:H19)</f>
        <v>0</v>
      </c>
      <c r="I20" s="1058">
        <f>SUBTOTAL(9,I16:I19)</f>
        <v>0</v>
      </c>
      <c r="J20" s="1014">
        <f>SUBTOTAL(9,J15:J19)</f>
        <v>0</v>
      </c>
      <c r="K20" s="1079">
        <f t="shared" ref="K20:S20" si="5">SUBTOTAL(9,K16:K19)</f>
        <v>0</v>
      </c>
      <c r="L20" s="1079">
        <f t="shared" si="5"/>
        <v>0</v>
      </c>
      <c r="M20" s="1079">
        <f t="shared" si="5"/>
        <v>0</v>
      </c>
      <c r="N20" s="1079">
        <f t="shared" si="5"/>
        <v>50</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660</v>
      </c>
      <c r="Z20" s="1079">
        <f t="shared" si="6"/>
        <v>41</v>
      </c>
      <c r="AA20" s="1079">
        <f t="shared" si="6"/>
        <v>1501</v>
      </c>
      <c r="AB20" s="1079">
        <f t="shared" si="6"/>
        <v>0</v>
      </c>
      <c r="AC20" s="1079">
        <f t="shared" si="6"/>
        <v>0</v>
      </c>
      <c r="AD20" s="1079">
        <f t="shared" si="6"/>
        <v>0</v>
      </c>
      <c r="AE20" s="1079">
        <f t="shared" si="6"/>
        <v>175</v>
      </c>
      <c r="AF20" s="1079">
        <f t="shared" si="6"/>
        <v>0</v>
      </c>
      <c r="AG20" s="1079">
        <f t="shared" si="6"/>
        <v>0</v>
      </c>
      <c r="AH20" s="1079">
        <f t="shared" si="6"/>
        <v>0</v>
      </c>
      <c r="AI20" s="1079">
        <f t="shared" si="6"/>
        <v>0</v>
      </c>
      <c r="AJ20" s="1079">
        <f t="shared" si="6"/>
        <v>134</v>
      </c>
      <c r="AK20" s="1079">
        <f t="shared" si="6"/>
        <v>293</v>
      </c>
      <c r="AL20" s="1079">
        <f t="shared" si="6"/>
        <v>0</v>
      </c>
      <c r="AM20" s="1079">
        <f t="shared" si="6"/>
        <v>0</v>
      </c>
      <c r="AN20" s="1079">
        <f t="shared" si="6"/>
        <v>0</v>
      </c>
      <c r="AO20" s="1081">
        <f>IF(ISNUMBER(((NºAsuntos!I20/NºAsuntos!G20)*11)/factor_trimestre),((NºAsuntos!I20/NºAsuntos!G20)*11)/factor_trimestre," - ")</f>
        <v>6.8227272727272741</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8</v>
      </c>
      <c r="F21" s="967">
        <f t="shared" si="8"/>
        <v>1437</v>
      </c>
      <c r="G21" s="967">
        <f t="shared" si="8"/>
        <v>1559</v>
      </c>
      <c r="H21" s="968">
        <f t="shared" si="8"/>
        <v>0</v>
      </c>
      <c r="I21" s="967">
        <f t="shared" si="8"/>
        <v>0</v>
      </c>
      <c r="J21" s="969">
        <f t="shared" si="8"/>
        <v>0</v>
      </c>
      <c r="K21" s="967">
        <f t="shared" si="8"/>
        <v>0</v>
      </c>
      <c r="L21" s="970">
        <f t="shared" si="8"/>
        <v>0</v>
      </c>
      <c r="M21" s="967">
        <f t="shared" si="8"/>
        <v>0</v>
      </c>
      <c r="N21" s="968">
        <f t="shared" si="8"/>
        <v>151</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674</v>
      </c>
      <c r="Z21" s="974">
        <f t="shared" si="9"/>
        <v>184</v>
      </c>
      <c r="AA21" s="975">
        <f t="shared" si="9"/>
        <v>1552</v>
      </c>
      <c r="AB21" s="975">
        <f t="shared" si="9"/>
        <v>0</v>
      </c>
      <c r="AC21" s="975">
        <f t="shared" si="9"/>
        <v>0</v>
      </c>
      <c r="AD21" s="976">
        <f t="shared" si="9"/>
        <v>0</v>
      </c>
      <c r="AE21" s="976">
        <f t="shared" si="9"/>
        <v>1257</v>
      </c>
      <c r="AF21" s="977">
        <f t="shared" si="9"/>
        <v>0</v>
      </c>
      <c r="AG21" s="978">
        <f t="shared" si="9"/>
        <v>0</v>
      </c>
      <c r="AH21" s="979">
        <f t="shared" si="9"/>
        <v>0</v>
      </c>
      <c r="AI21" s="977">
        <f t="shared" si="9"/>
        <v>0</v>
      </c>
      <c r="AJ21" s="967">
        <f t="shared" si="9"/>
        <v>302</v>
      </c>
      <c r="AK21" s="967">
        <f t="shared" si="9"/>
        <v>465</v>
      </c>
      <c r="AL21" s="967">
        <f t="shared" si="9"/>
        <v>0</v>
      </c>
      <c r="AM21" s="980">
        <f t="shared" si="9"/>
        <v>0</v>
      </c>
      <c r="AN21" s="970">
        <f>IF(ISNUMBER(Datos!K21/Datos!J21),Datos!K21/Datos!J21," - ")</f>
        <v>1.0299559471365638</v>
      </c>
      <c r="AO21" s="970">
        <f>IF(ISNUMBER(FIND("06",Criterios!A8,1)),(IF(ISNUMBER(((Datos!R21/Datos!Q21)*11)/factor_trimestre),((Datos!R21/Datos!Q21)*11)/factor_trimestre," - ")),(IF(ISNUMBER(((Datos!L21/Datos!K21)*11)/factor_trimestre),((Datos!L21/Datos!K21)*11)/factor_trimestre," - ")))</f>
        <v>7.3216424294268609</v>
      </c>
      <c r="AP21" s="981" t="str">
        <f>IF(ISNUMBER(Datos!CI21/Datos!CJ21),Datos!CI21/Datos!CJ21," - ")</f>
        <v xml:space="preserve"> - </v>
      </c>
      <c r="AQ21" s="981">
        <f>IF(OR(ISNUMBER(FIND("01",Criterios!A8,1)),ISNUMBER(FIND("02",Criterios!A8,1)),ISNUMBER(FIND("03",Criterios!A8,1)),ISNUMBER(FIND("04",Criterios!A8,1))),(J21-Y21+K21)/(F21-K21),(I21-Y21+K21)/(F21-K21))</f>
        <v>-0.46903270702853167</v>
      </c>
      <c r="AR21" s="981">
        <f>IF(ISNUMBER((Datos!P21-Datos!Q21+O21)/(Datos!R21-Datos!P21+Datos!Q21-O21)),(Datos!P21-Datos!Q21+O21)/(Datos!R21-Datos!P21+Datos!Q21-O21)," - ")</f>
        <v>-2.5581395348837209E-2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623.6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768.45320829139189</v>
      </c>
      <c r="G23" s="601">
        <f>IF(ISNUMBER(STDEV(G8:G20)),STDEV(G8:G20),"-")</f>
        <v>758.89347078493176</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71.606331191219866</v>
      </c>
      <c r="AK23" s="257"/>
      <c r="AL23" s="257">
        <f>IF(ISNUMBER(STDEV(AL8:AL20)),STDEV(AL8:AL20),"-")</f>
        <v>0</v>
      </c>
      <c r="AM23" s="259">
        <f>IF(ISNUMBER(STDEV(AM8:AM20)),STDEV(AM8:AM20),"-")</f>
        <v>0</v>
      </c>
      <c r="AN23" s="587">
        <f>IF(ISNUMBER(STDEV(AN8:AN20)),STDEV(AN8:AN20),"-")</f>
        <v>0</v>
      </c>
      <c r="AO23" s="588">
        <f>IF(ISNUMBER(STDEV(AO8:AO20)),STDEV(AO8:AO20),"-")</f>
        <v>1.5933940890694078</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NRPneel8MLycs+Ar15G1CmQ+HHufTUTkfnBud2SG054KuB64Nwy0tTcjZU0uPhMP+xlQNes+8+LBJXdKhW28bw==" saltValue="DmfQ/AXTGOSAXePj/d5fo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HbxIeFl/KkbcqAzuLikQ/7Mrn0qW5pmh6RM51W4xj+ytI3Cr6X2Xfeu6dt1NTo2aerdytB9pna7Cip9yegLJng==" saltValue="gpcyVFDrHt5w6pXchVUr1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8fgWb0YWMluREraWhm8qBiXcFY0oDXbPv3e1jSrCk94BvI1vNP6t1O5D5OqxmTXGoSQ3GL8vUTuwkMn5mS2EpQ==" saltValue="/wN9+VE/LTHxGi5xDAPmM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PAIS VASCO</v>
      </c>
      <c r="F1" s="753"/>
    </row>
    <row r="2" spans="1:75" ht="16.5" customHeight="1">
      <c r="C2" s="521" t="str">
        <f>Criterios!A10 &amp;"  "&amp;Criterios!B10 &amp; "  " &amp; IF(NOT(ISBLANK(Criterios!A11)),Criterios!A11 &amp;"  "&amp;Criterios!B11,"")</f>
        <v>Provincias  GIPUZKOA  Resumenes por Partidos Judiciales  TOLOSA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0.30825688073394497</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0.2179705307143853</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m/h90D08gRVmih/bWQ/0pcZowzwIQsYF+wCIVrhqvOiURcCvhYM1vJmSVFrKLOr7ZvpyYzmkEjdt8hFj0u39/A==" saltValue="PSqjq3+3xxDOOlMzNXwAb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d4o1nOCdjxa44YlQsHds4chI7lI/k0V+grLwKjuDcwcZCbuW1nAFz8kyQRwlecCxa0WclMdn9pyXLZGI4crQPw==" saltValue="UHbggavk/t5A5RBOlvGkq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PAIS VASCO</v>
      </c>
      <c r="C2" s="400"/>
      <c r="D2" s="400"/>
      <c r="E2" s="400"/>
      <c r="F2" s="400"/>
    </row>
    <row r="3" spans="1:14" ht="19.5">
      <c r="A3" s="402" t="s">
        <v>128</v>
      </c>
      <c r="B3" s="403" t="str">
        <f>Criterios!A10 &amp;"  "&amp;Criterios!B10</f>
        <v>Provincias  GIPUZKOA</v>
      </c>
      <c r="D3" s="400"/>
      <c r="E3" s="400"/>
      <c r="F3" s="400"/>
    </row>
    <row r="4" spans="1:14" ht="13.5" thickBot="1">
      <c r="A4" s="400"/>
      <c r="B4" s="403" t="str">
        <f>Criterios!A11 &amp;"  "&amp;Criterios!B11</f>
        <v>Resumenes por Partidos Judiciales  TOLOSA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38</v>
      </c>
      <c r="D10" s="416">
        <f>IF(ISNUMBER(C10/Datos!BH10),C10/Datos!BH10," - ")</f>
        <v>38</v>
      </c>
      <c r="E10" s="415">
        <f>IF(ISNUMBER(Datos!J10),Datos!J10," - ")</f>
        <v>12</v>
      </c>
      <c r="F10" s="416">
        <f>IF(ISNUMBER(E10/B10),E10/B10," - ")</f>
        <v>12</v>
      </c>
      <c r="G10" s="415">
        <f>IF(ISNUMBER(Datos!K10),Datos!K10," - ")</f>
        <v>14</v>
      </c>
      <c r="H10" s="416">
        <f>IF(ISNUMBER(G10/B10),G10/B10," - ")</f>
        <v>14</v>
      </c>
      <c r="I10" s="415">
        <f>IF(ISNUMBER(Datos!L10),Datos!L10," - ")</f>
        <v>51</v>
      </c>
      <c r="J10" s="416">
        <f>IF(ISNUMBER(I10/B10),I10/B10," - ")</f>
        <v>51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4</v>
      </c>
      <c r="C12" s="415">
        <f>IF(ISNUMBER(IF(J_V="SI",Datos!I12,Datos!I12+Datos!Y12)),IF(J_V="SI",Datos!I12,Datos!I12+Datos!Y12)," - ")</f>
        <v>1422</v>
      </c>
      <c r="D12" s="416">
        <f>IF(ISNUMBER(C12/Datos!BH12),C12/Datos!BH12," - ")</f>
        <v>355.5</v>
      </c>
      <c r="E12" s="415">
        <f>IF(ISNUMBER(IF(J_V="SI",Datos!J12,Datos!J12+Datos!Z12)),IF(J_V="SI",Datos!J12,Datos!J12+Datos!Z12)," - ")</f>
        <v>523</v>
      </c>
      <c r="F12" s="416">
        <f>IF(ISNUMBER(E12/B12),E12/B12," - ")</f>
        <v>130.75</v>
      </c>
      <c r="G12" s="415">
        <f>IF(ISNUMBER(IF(J_V="SI",Datos!K12,Datos!K12+Datos!AA12)),IF(J_V="SI",Datos!K12,Datos!K12+Datos!AA12)," - ")</f>
        <v>531</v>
      </c>
      <c r="H12" s="416">
        <f>IF(ISNUMBER(G12/B12),G12/B12," - ")</f>
        <v>132.75</v>
      </c>
      <c r="I12" s="415">
        <f>IF(ISNUMBER(IF(J_V="SI",Datos!L12,Datos!L12+Datos!AB12)),IF(J_V="SI",Datos!L12,Datos!L12+Datos!AB12)," - ")</f>
        <v>1370</v>
      </c>
      <c r="J12" s="416">
        <f>IF(ISNUMBER(I12/B12),I12/B12," - ")</f>
        <v>342.5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4</v>
      </c>
      <c r="C14" s="996">
        <f>SUBTOTAL(9,C8:C13)</f>
        <v>1460</v>
      </c>
      <c r="D14" s="997" t="str">
        <f>IF(ISNUMBER(C14/Datos!BI14),C14/Datos!BI14," - ")</f>
        <v xml:space="preserve"> - </v>
      </c>
      <c r="E14" s="996">
        <f>SUBTOTAL(9,E8:E13)</f>
        <v>535</v>
      </c>
      <c r="F14" s="997">
        <f>IF(ISNUMBER(E14/B14),E14/B14," - ")</f>
        <v>133.75</v>
      </c>
      <c r="G14" s="996">
        <f>SUBTOTAL(9,G8:G13)</f>
        <v>545</v>
      </c>
      <c r="H14" s="997">
        <f>IF(ISNUMBER(G14/B14),G14/B14," - ")</f>
        <v>136.25</v>
      </c>
      <c r="I14" s="996">
        <f>SUBTOTAL(9,I8:I13)</f>
        <v>1421</v>
      </c>
      <c r="J14" s="997">
        <f>IF(ISNUMBER(I14/B14),I14/B14," - ")</f>
        <v>355.25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4</v>
      </c>
      <c r="C17" s="415">
        <f>IF(ISNUMBER(IF(D_I="SI",Datos!I17,Datos!I17+Datos!AC17)),IF(D_I="SI",Datos!I17,Datos!I17+Datos!AC17)," - ")</f>
        <v>1383</v>
      </c>
      <c r="D17" s="416">
        <f>IF(ISNUMBER(C17/Datos!BH17),C17/Datos!BH17," - ")</f>
        <v>345.75</v>
      </c>
      <c r="E17" s="415">
        <f>IF(ISNUMBER(IF(D_I="SI",Datos!J17,Datos!J17+Datos!AD17)),IF(D_I="SI",Datos!J17,Datos!J17+Datos!AD17)," - ")</f>
        <v>581</v>
      </c>
      <c r="F17" s="416">
        <f>IF(ISNUMBER(E17/B17),E17/B17," - ")</f>
        <v>145.25</v>
      </c>
      <c r="G17" s="415">
        <f>IF(ISNUMBER(IF(D_I="SI",Datos!K17,Datos!K17+Datos!AE17)),IF(D_I="SI",Datos!K17,Datos!K17+Datos!AE17)," - ")</f>
        <v>600</v>
      </c>
      <c r="H17" s="416">
        <f>IF(ISNUMBER(G17/B17),G17/B17," - ")</f>
        <v>150</v>
      </c>
      <c r="I17" s="415">
        <f>IF(ISNUMBER(IF(D_I="SI",Datos!L17,Datos!L17+Datos!AF17)),IF(D_I="SI",Datos!L17,Datos!L17+Datos!AF17)," - ")</f>
        <v>1365</v>
      </c>
      <c r="J17" s="416">
        <f>IF(ISNUMBER(I17/B17),I17/B17," - ")</f>
        <v>341.25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138</v>
      </c>
      <c r="D18" s="416">
        <f>IF(ISNUMBER(C18/Datos!BH18),C18/Datos!BH18," - ")</f>
        <v>138</v>
      </c>
      <c r="E18" s="415">
        <f>IF(ISNUMBER(IF(D_I="SI",Datos!J18,Datos!J18+Datos!AD18)),IF(D_I="SI",Datos!J18,Datos!J18+Datos!AD18)," - ")</f>
        <v>58</v>
      </c>
      <c r="F18" s="416">
        <f>IF(ISNUMBER(E18/B18),E18/B18," - ")</f>
        <v>58</v>
      </c>
      <c r="G18" s="415">
        <f>IF(ISNUMBER(IF(D_I="SI",Datos!K18,Datos!K18+Datos!AE18)),IF(D_I="SI",Datos!K18,Datos!K18+Datos!AE18)," - ")</f>
        <v>60</v>
      </c>
      <c r="H18" s="416">
        <f>IF(ISNUMBER(G18/B18),G18/B18," - ")</f>
        <v>60</v>
      </c>
      <c r="I18" s="415">
        <f>IF(ISNUMBER(IF(D_I="SI",Datos!L18,Datos!L18+Datos!AF18)),IF(D_I="SI",Datos!L18,Datos!L18+Datos!AF18)," - ")</f>
        <v>136</v>
      </c>
      <c r="J18" s="416">
        <f>IF(ISNUMBER(I18/B18),I18/B18," - ")</f>
        <v>136</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4</v>
      </c>
      <c r="C20" s="996">
        <f>SUBTOTAL(9,C15:C19)</f>
        <v>1521</v>
      </c>
      <c r="D20" s="997" t="str">
        <f>IF(ISNUMBER(C20/Datos!BI20),C20/Datos!BI20," - ")</f>
        <v xml:space="preserve"> - </v>
      </c>
      <c r="E20" s="996">
        <f>SUBTOTAL(9,E15:E19)</f>
        <v>639</v>
      </c>
      <c r="F20" s="997">
        <f>IF(ISNUMBER(E20/B20),E20/B20," - ")</f>
        <v>159.75</v>
      </c>
      <c r="G20" s="996">
        <f>SUBTOTAL(9,G15:G19)</f>
        <v>660</v>
      </c>
      <c r="H20" s="997">
        <f>IF(ISNUMBER(G20/B20),G20/B20," - ")</f>
        <v>165</v>
      </c>
      <c r="I20" s="996">
        <f>SUBTOTAL(9,I15:I19)</f>
        <v>1501</v>
      </c>
      <c r="J20" s="997">
        <f>IF(ISNUMBER(I20/B20),I20/B20," - ")</f>
        <v>375.25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4</v>
      </c>
      <c r="C21" s="941">
        <f>SUBTOTAL(9,C9:C20)</f>
        <v>2981</v>
      </c>
      <c r="D21" s="942" t="str">
        <f>IF(ISNUMBER(C21/Datos!BI21),C21/Datos!BI21," - ")</f>
        <v xml:space="preserve"> - </v>
      </c>
      <c r="E21" s="941">
        <f>SUBTOTAL(9,E9:E20)</f>
        <v>1174</v>
      </c>
      <c r="F21" s="942">
        <f>IF(ISNUMBER(E21/B21),E21/B21," - ")</f>
        <v>293.5</v>
      </c>
      <c r="G21" s="941">
        <f>SUBTOTAL(9,G9:G20)</f>
        <v>1205</v>
      </c>
      <c r="H21" s="942">
        <f>IF(ISNUMBER(G21/B21),G21/B21," - ")</f>
        <v>301.25</v>
      </c>
      <c r="I21" s="941">
        <f>SUBTOTAL(9,I9:I20)</f>
        <v>2922</v>
      </c>
      <c r="J21" s="942">
        <f>IF(ISNUMBER(I21/B21),I21/B21," - ")</f>
        <v>730.5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xcvODoQF5y7XyZ4ngkWmlQPQOJKO8/Pu5lSguKUX8s2cYIbo+SFf2hZom8eGnNrj5sNUWuUl3XjfETtSuBukRg==" saltValue="D2e8axUY6IAkhXizdjsGa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PAIS VASCO</v>
      </c>
      <c r="F1" s="753"/>
      <c r="W1"/>
      <c r="X1"/>
      <c r="BE1" s="753"/>
    </row>
    <row r="2" spans="1:65" ht="16.5" customHeight="1">
      <c r="C2" s="521" t="str">
        <f>Criterios!A10 &amp;"  "&amp;Criterios!B10 &amp; "  " &amp; IF(NOT(ISBLANK(Criterios!A11)),Criterios!A11 &amp;"  "&amp;Criterios!B11,"")</f>
        <v>Provincias  GIPUZKOA  Resumenes por Partidos Judiciales  TOLOSA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53</v>
      </c>
      <c r="G10" s="803">
        <f>IF(ISNUMBER(Datos!I10),Datos!I10," - ")</f>
        <v>38</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14</v>
      </c>
      <c r="AC10" s="802" t="str">
        <f>IF(ISNUMBER(IF(D_I="SI",DatosP!K18,DatosP!K18+DatosP!AE18)),IF(D_I="SI",DatosP!K18,DatosP!K18+DatosP!AE18)," - ")</f>
        <v xml:space="preserve"> - </v>
      </c>
      <c r="AD10" s="804"/>
      <c r="AE10" s="804"/>
      <c r="AF10" s="807">
        <f>IF(ISNUMBER(Datos!L10),Datos!L10,"-")</f>
        <v>51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8</v>
      </c>
      <c r="AM10" s="811">
        <f>IF(ISNUMBER(Datos!N10+DatosP!N18),Datos!N10+DatosP!N18," - ")</f>
        <v>3</v>
      </c>
      <c r="AN10" s="811">
        <f>IF(ISNUMBER(Datos!BW10+DatosP!BW18),Datos!BW10+DatosP!BW18," - ")</f>
        <v>0</v>
      </c>
      <c r="AO10" s="812">
        <f>IF(ISNUMBER(Datos!BX10+DatosP!BX18),Datos!BX10+DatosP!BX18," - ")</f>
        <v>0</v>
      </c>
      <c r="AP10" s="814">
        <f>IF(ISNUMBER(((Datos!L10/Datos!K10)*11)/factor_trimestre),((Datos!L10/Datos!K10)*11)/factor_trimestre," - ")</f>
        <v>10.928571428571429</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4</v>
      </c>
      <c r="B12" s="654" t="s">
        <v>273</v>
      </c>
      <c r="C12" s="655" t="str">
        <f>Datos!A12</f>
        <v xml:space="preserve">Jdos. 1ª Instª. e Instr.                        </v>
      </c>
      <c r="D12" s="549"/>
      <c r="E12" s="801">
        <f>IF(ISNUMBER(Datos!AQ12),Datos!AQ12," - ")</f>
        <v>4</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101</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143</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1082</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160</v>
      </c>
      <c r="AM12" s="811">
        <f>IF(ISNUMBER(Datos!N12+DatosP!N17),Datos!N12+DatosP!N17," - ")</f>
        <v>169</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7.7401129943502829</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-3.7366548042704624E-2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4</v>
      </c>
      <c r="F14" s="1085">
        <f t="shared" si="0"/>
        <v>53</v>
      </c>
      <c r="G14" s="1085">
        <f t="shared" si="0"/>
        <v>38</v>
      </c>
      <c r="H14" s="1085">
        <f t="shared" si="0"/>
        <v>0</v>
      </c>
      <c r="I14" s="1087">
        <f t="shared" si="0"/>
        <v>0</v>
      </c>
      <c r="J14" s="1086">
        <f t="shared" si="0"/>
        <v>0</v>
      </c>
      <c r="K14" s="1086">
        <f t="shared" si="0"/>
        <v>0</v>
      </c>
      <c r="L14" s="1088">
        <f t="shared" si="0"/>
        <v>0</v>
      </c>
      <c r="M14" s="1088">
        <f t="shared" si="0"/>
        <v>0</v>
      </c>
      <c r="N14" s="1086">
        <f t="shared" si="0"/>
        <v>101</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14</v>
      </c>
      <c r="AC14" s="1086">
        <f t="shared" si="1"/>
        <v>0</v>
      </c>
      <c r="AD14" s="1086">
        <f t="shared" si="1"/>
        <v>143</v>
      </c>
      <c r="AE14" s="1086">
        <f t="shared" si="1"/>
        <v>0</v>
      </c>
      <c r="AF14" s="1086">
        <f t="shared" si="1"/>
        <v>51</v>
      </c>
      <c r="AG14" s="1086">
        <f t="shared" si="1"/>
        <v>0</v>
      </c>
      <c r="AH14" s="1086">
        <f t="shared" si="1"/>
        <v>1082</v>
      </c>
      <c r="AI14" s="1086">
        <f t="shared" si="1"/>
        <v>0</v>
      </c>
      <c r="AJ14" s="1086">
        <f t="shared" si="1"/>
        <v>0</v>
      </c>
      <c r="AK14" s="1086">
        <f t="shared" si="1"/>
        <v>0</v>
      </c>
      <c r="AL14" s="1086">
        <f t="shared" si="1"/>
        <v>168</v>
      </c>
      <c r="AM14" s="1086">
        <f t="shared" si="1"/>
        <v>172</v>
      </c>
      <c r="AN14" s="1086">
        <f t="shared" si="1"/>
        <v>0</v>
      </c>
      <c r="AO14" s="1086">
        <f t="shared" si="1"/>
        <v>0</v>
      </c>
      <c r="AP14" s="1091">
        <f>IF(ISNUMBER(((Datos!L14/Datos!K14)*11)/factor_trimestre),((Datos!L14/Datos!K14)*11)/factor_trimestre," - ")</f>
        <v>7.9685658153241654</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-0.26415094339622641</v>
      </c>
      <c r="AU14" s="1086" t="str">
        <f>IF(ISNUMBER((DatosP!#REF!-DatosP!#REF!+DatosP!#REF!)/(DatosP!#REF!+DatosP!#REF!-DatosP!#REF!-DatosP!#REF!)),(DatosP!#REF!-DatosP!#REF!+DatosP!#REF!)/(DatosP!#REF!+DatosP!#REF!-DatosP!#REF!-DatosP!#REF!)," - ")</f>
        <v xml:space="preserve"> - </v>
      </c>
      <c r="AV14" s="1092">
        <f>SUBTOTAL(9,AV9:AV13)</f>
        <v>-3.7366548042704624E-2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4</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6.8227272727272741</v>
      </c>
      <c r="AQ20" s="1091">
        <f>IF(ISNUMBER(((Datos!M20/Datos!L20)*11)/factor_trimestre),((Datos!M20/Datos!L20)*11)/factor_trimestre," - ")</f>
        <v>0.26782145236508992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5.4216867469879519E-2</v>
      </c>
      <c r="AW20" s="1093">
        <f>IF(ISNUMBER((Datos!Q20-Datos!R20)/(Datos!S20-Datos!Q20+Datos!R20)),(Datos!Q20-Datos!R20)/(Datos!S20-Datos!Q20+Datos!R20)," - ")</f>
        <v>-9.1780821917808217E-2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4</v>
      </c>
      <c r="F21" s="1098">
        <f t="shared" si="4"/>
        <v>53</v>
      </c>
      <c r="G21" s="1098">
        <f t="shared" si="4"/>
        <v>38</v>
      </c>
      <c r="H21" s="1098">
        <f t="shared" si="4"/>
        <v>0</v>
      </c>
      <c r="I21" s="1099">
        <f t="shared" si="4"/>
        <v>0</v>
      </c>
      <c r="J21" s="1100">
        <f t="shared" si="4"/>
        <v>0</v>
      </c>
      <c r="K21" s="1100">
        <f t="shared" si="4"/>
        <v>0</v>
      </c>
      <c r="L21" s="1100">
        <f t="shared" si="4"/>
        <v>0</v>
      </c>
      <c r="M21" s="1100">
        <f t="shared" si="4"/>
        <v>0</v>
      </c>
      <c r="N21" s="1099">
        <f t="shared" si="4"/>
        <v>101</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14</v>
      </c>
      <c r="AC21" s="1104">
        <f t="shared" si="5"/>
        <v>0</v>
      </c>
      <c r="AD21" s="1104">
        <f t="shared" si="5"/>
        <v>143</v>
      </c>
      <c r="AE21" s="1104">
        <f t="shared" si="5"/>
        <v>0</v>
      </c>
      <c r="AF21" s="1105">
        <f t="shared" si="5"/>
        <v>51</v>
      </c>
      <c r="AG21" s="1105">
        <f t="shared" si="5"/>
        <v>0</v>
      </c>
      <c r="AH21" s="1105">
        <f t="shared" si="5"/>
        <v>1082</v>
      </c>
      <c r="AI21" s="1105">
        <f t="shared" si="5"/>
        <v>0</v>
      </c>
      <c r="AJ21" s="1106">
        <f t="shared" si="5"/>
        <v>0</v>
      </c>
      <c r="AK21" s="1106">
        <f t="shared" si="5"/>
        <v>0</v>
      </c>
      <c r="AL21" s="1098">
        <f t="shared" si="5"/>
        <v>168</v>
      </c>
      <c r="AM21" s="1098">
        <f t="shared" si="5"/>
        <v>172</v>
      </c>
      <c r="AN21" s="1098">
        <f t="shared" si="5"/>
        <v>0</v>
      </c>
      <c r="AO21" s="1098">
        <f t="shared" si="5"/>
        <v>0</v>
      </c>
      <c r="AP21" s="1098">
        <f>IF(ISNUMBER(((Datos!L21/Datos!K21)*11)/factor_trimestre),((Datos!L21/Datos!K21)*11)/factor_trimestre," - ")</f>
        <v>7.3216424294268609</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-0.26415094339622641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-2.5581395348837209E-2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25.333333333333332</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1.9518001458970664</v>
      </c>
      <c r="F23" s="870">
        <f>IF(ISNUMBER(STDEV(F8:F20)),STDEV(F8:F20),"-")</f>
        <v>30.599564267050166</v>
      </c>
      <c r="G23" s="871">
        <f>IF(ISNUMBER(STDEV(G8:G20)),STDEV(G8:G20),"-")</f>
        <v>21.93931022920578</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8.0829037686547611</v>
      </c>
      <c r="AC23" s="872">
        <f>IF(ISNUMBER(STDEV(AC8:AC20)),STDEV(AC8:AC20),"-")</f>
        <v>0</v>
      </c>
      <c r="AD23" s="875"/>
      <c r="AE23" s="875"/>
      <c r="AF23" s="875"/>
      <c r="AG23" s="875"/>
      <c r="AH23" s="875"/>
      <c r="AI23" s="875"/>
      <c r="AJ23" s="876">
        <f>IF(ISNUMBER(STDEV(AJ8:AJ20)),STDEV(AJ8:AJ20),"-")</f>
        <v>0</v>
      </c>
      <c r="AK23" s="878"/>
      <c r="AL23" s="870">
        <f>IF(ISNUMBER(STDEV(AL8:AL20)),STDEV(AL8:AL20),"-")</f>
        <v>92.491441045464668</v>
      </c>
      <c r="AM23" s="870"/>
      <c r="AN23" s="870">
        <f>IF(ISNUMBER(STDEV(AN8:AN20)),STDEV(AN8:AN20),"-")</f>
        <v>0</v>
      </c>
      <c r="AO23" s="876">
        <f>IF(ISNUMBER(STDEV(AO8:AO20)),STDEV(AO8:AO20),"-")</f>
        <v>0</v>
      </c>
      <c r="AP23" s="923">
        <f>IF(ISNUMBER(STDEV(AP8:AP20)),STDEV(AP8:AP20),"-")</f>
        <v>1.7793395279485169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aVW7L2GKL9H0I8zD9mzma5KNw20RVCMmTUl1B/AnEjaVRj69Z1m7iobCMN0BxvGikhpsyetdG1qujjkgS7DFeQ==" saltValue="nWBLsBmVQ5OvwKx66+Mp7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PAIS VASCO</v>
      </c>
      <c r="C2" s="400"/>
      <c r="E2" s="400"/>
      <c r="F2" s="400"/>
      <c r="G2" s="400"/>
      <c r="H2" s="400"/>
    </row>
    <row r="3" spans="1:15" ht="39">
      <c r="A3" s="427" t="s">
        <v>241</v>
      </c>
      <c r="B3" s="403" t="str">
        <f>Criterios!A10 &amp;"  "&amp;Criterios!B10</f>
        <v>Provincias  GIPUZKOA</v>
      </c>
      <c r="C3" s="427"/>
      <c r="F3" s="400"/>
      <c r="G3" s="400"/>
      <c r="H3" s="400"/>
    </row>
    <row r="4" spans="1:15" ht="13.5" thickBot="1">
      <c r="A4" s="400"/>
      <c r="B4" s="403" t="str">
        <f>Criterios!A11 &amp;"  "&amp;Criterios!B11</f>
        <v>Resumenes por Partidos Judiciales  TOLOSA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4</v>
      </c>
      <c r="D12" s="415">
        <f>Datos!BK12</f>
        <v>0</v>
      </c>
      <c r="E12" s="415">
        <f>Datos!AQ12</f>
        <v>4</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4</v>
      </c>
      <c r="D17" s="415">
        <f>Datos!BK17</f>
        <v>0</v>
      </c>
      <c r="E17" s="415">
        <f>Datos!AQ17</f>
        <v>4</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FjRSsd0Thoo195pUCofa5uHg6YXbxlrM9zDt0r3G8ypP3Ym5LtIrP4hJDOuZ0sAn54Z0TGRGNPM5ihCIzY11w==" saltValue="Zvwropi8PZI3x+1Pz2csM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PAIS VASCO</v>
      </c>
      <c r="C2" s="439"/>
      <c r="D2" s="382"/>
    </row>
    <row r="3" spans="1:9" ht="19.5">
      <c r="A3" s="440" t="s">
        <v>11</v>
      </c>
      <c r="B3" s="441" t="str">
        <f>Criterios!A10 &amp;"  "&amp;Criterios!B10</f>
        <v>Provincias  GIPUZKOA</v>
      </c>
      <c r="C3" s="439"/>
      <c r="D3" s="440"/>
    </row>
    <row r="4" spans="1:9" ht="13.5" thickBot="1">
      <c r="B4" s="441" t="str">
        <f>Criterios!A11 &amp;"  "&amp;Criterios!B11</f>
        <v>Resumenes por Partidos Judiciales  TOLOSA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8</v>
      </c>
      <c r="E10" s="416">
        <f>IF(ISNUMBER(D10/B10),D10/B10," - ")</f>
        <v>8</v>
      </c>
      <c r="F10" s="415">
        <f>IF(ISNUMBER(Datos!N10),Datos!N10," - ")</f>
        <v>3</v>
      </c>
      <c r="G10" s="416">
        <f>IF(ISNUMBER(F10/B10),F10/B10," - ")</f>
        <v>3</v>
      </c>
      <c r="H10" s="415">
        <f>IF(ISNUMBER(Datos!O10),Datos!O10," - ")</f>
        <v>2</v>
      </c>
      <c r="I10" s="416">
        <f t="shared" ref="I10:I13" si="2">IF(ISNUMBER(H10/B10),H10/B10," - ")</f>
        <v>2</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4</v>
      </c>
      <c r="C12" s="422">
        <f>Datos!AQ12</f>
        <v>4</v>
      </c>
      <c r="D12" s="415">
        <f>IF(ISNUMBER(Datos!M12),Datos!M12," - ")</f>
        <v>160</v>
      </c>
      <c r="E12" s="416">
        <f t="shared" si="0"/>
        <v>40</v>
      </c>
      <c r="F12" s="415">
        <f>IF(ISNUMBER(Datos!N12),Datos!N12," - ")</f>
        <v>169</v>
      </c>
      <c r="G12" s="416">
        <f t="shared" si="1"/>
        <v>42.25</v>
      </c>
      <c r="H12" s="415">
        <f>IF(ISNUMBER(Datos!O12),Datos!O12," - ")</f>
        <v>223</v>
      </c>
      <c r="I12" s="416">
        <f t="shared" si="2"/>
        <v>55.75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5</v>
      </c>
      <c r="C14" s="998">
        <f>Datos!AR14</f>
        <v>4</v>
      </c>
      <c r="D14" s="996">
        <f>SUBTOTAL(9,D9:D13)</f>
        <v>168</v>
      </c>
      <c r="E14" s="997">
        <f t="shared" si="0"/>
        <v>33.6</v>
      </c>
      <c r="F14" s="996">
        <f>SUBTOTAL(9,F9:F13)</f>
        <v>172</v>
      </c>
      <c r="G14" s="997">
        <f t="shared" si="1"/>
        <v>34.4</v>
      </c>
      <c r="H14" s="996">
        <f>SUBTOTAL(9,H9:H13)</f>
        <v>225</v>
      </c>
      <c r="I14" s="997">
        <f>IF(ISNUMBER(H14/B14),H14/B14," - ")</f>
        <v>45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4</v>
      </c>
      <c r="C17" s="445">
        <f>Datos!AQ17</f>
        <v>4</v>
      </c>
      <c r="D17" s="415">
        <f>IF(ISNUMBER(Datos!M17),Datos!M17," - ")</f>
        <v>120</v>
      </c>
      <c r="E17" s="416">
        <f t="shared" si="3"/>
        <v>30</v>
      </c>
      <c r="F17" s="415">
        <f>IF(ISNUMBER(Datos!N17),Datos!N17," - ")</f>
        <v>273</v>
      </c>
      <c r="G17" s="416">
        <f t="shared" si="4"/>
        <v>68.25</v>
      </c>
      <c r="H17" s="415">
        <f>IF(ISNUMBER(Datos!O17),Datos!O17," - ")</f>
        <v>0</v>
      </c>
      <c r="I17" s="416">
        <f t="shared" si="5"/>
        <v>0</v>
      </c>
    </row>
    <row r="18" spans="1:9">
      <c r="A18" s="414" t="str">
        <f>Datos!A18</f>
        <v>Jdos. Violencia contra la mujer</v>
      </c>
      <c r="B18" s="444">
        <f>Datos!AO18</f>
        <v>1</v>
      </c>
      <c r="C18" s="445">
        <f>Datos!AQ18</f>
        <v>0</v>
      </c>
      <c r="D18" s="415">
        <f>IF(ISNUMBER(Datos!M18),Datos!M18," - ")</f>
        <v>14</v>
      </c>
      <c r="E18" s="416">
        <f>IF(ISNUMBER(D18/B18),D18/B18," - ")</f>
        <v>14</v>
      </c>
      <c r="F18" s="415">
        <f>IF(ISNUMBER(Datos!N18),Datos!N18," - ")</f>
        <v>20</v>
      </c>
      <c r="G18" s="416">
        <f>IF(ISNUMBER(F18/B18),F18/B18," - ")</f>
        <v>20</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4</v>
      </c>
      <c r="D20" s="996">
        <f>SUBTOTAL(9,D16:D19)</f>
        <v>134</v>
      </c>
      <c r="E20" s="997">
        <f t="shared" si="3"/>
        <v>26.8</v>
      </c>
      <c r="F20" s="996">
        <f>SUBTOTAL(9,F16:F19)</f>
        <v>293</v>
      </c>
      <c r="G20" s="997">
        <f t="shared" si="4"/>
        <v>58.6</v>
      </c>
      <c r="H20" s="996">
        <f>SUBTOTAL(9,H16:H19)</f>
        <v>0</v>
      </c>
      <c r="I20" s="997">
        <f>IF(ISNUMBER(H20/B20),H20/B20," - ")</f>
        <v>0</v>
      </c>
    </row>
    <row r="21" spans="1:9" ht="14.25" thickTop="1" thickBot="1">
      <c r="A21" s="940" t="str">
        <f>Datos!A21</f>
        <v>TOTAL JURISDICCIONES</v>
      </c>
      <c r="B21" s="941">
        <f>Datos!AP21</f>
        <v>4</v>
      </c>
      <c r="C21" s="941">
        <f>Datos!AR21</f>
        <v>4</v>
      </c>
      <c r="D21" s="941">
        <f>SUBTOTAL(9,D8:D20)</f>
        <v>302</v>
      </c>
      <c r="E21" s="942">
        <f>IF(ISNUMBER(D21/B21),D21/B21," - ")</f>
        <v>75.5</v>
      </c>
      <c r="F21" s="941">
        <f>SUBTOTAL(9,F8:F20)</f>
        <v>465</v>
      </c>
      <c r="G21" s="942">
        <f>IF(ISNUMBER(F21/B21),F21/B21," - ")</f>
        <v>116.25</v>
      </c>
      <c r="H21" s="941">
        <f>SUBTOTAL(9,H8:H20)</f>
        <v>225</v>
      </c>
      <c r="I21" s="942">
        <f>IF(ISNUMBER(H21/B21),H21/B21," - ")</f>
        <v>56.25</v>
      </c>
    </row>
    <row r="24" spans="1:9">
      <c r="A24" s="403" t="str">
        <f>Criterios!A4</f>
        <v>Fecha Informe: 06 jun. 2023</v>
      </c>
    </row>
    <row r="29" spans="1:9">
      <c r="A29" s="426"/>
    </row>
  </sheetData>
  <sheetProtection algorithmName="SHA-512" hashValue="he2jXtDnVyp7FY5KUhZu8sqKqgiLU4eG/Z1FHq/PLkxSEaY3kN1D1p3j8tY1sFxrJd0PEaHslzIoc/miPgPzBw==" saltValue="h/g4MT8QXPh1I6DFOPo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PAIS VASCO</v>
      </c>
    </row>
    <row r="3" spans="1:4" ht="19.5">
      <c r="A3" s="446" t="s">
        <v>33</v>
      </c>
      <c r="B3" s="403" t="str">
        <f>Criterios!A10 &amp;"  "&amp;Criterios!B10</f>
        <v>Provincias  GIPUZKOA</v>
      </c>
    </row>
    <row r="4" spans="1:4" ht="13.5" thickBot="1">
      <c r="B4" s="403" t="str">
        <f>Criterios!A11 &amp;"  "&amp;Criterios!B11</f>
        <v>Resumenes por Partidos Judiciales  TOLOSA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101</v>
      </c>
      <c r="C12" s="451">
        <f>IF(ISNUMBER(Datos!Q12),Datos!Q12," - ")</f>
        <v>143</v>
      </c>
      <c r="D12" s="420">
        <f>IF(ISNUMBER(Datos!R12),Datos!R12," - ")</f>
        <v>1082</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101</v>
      </c>
      <c r="C14" s="1000">
        <f>SUBTOTAL(9,C9:C13)</f>
        <v>143</v>
      </c>
      <c r="D14" s="998">
        <f>SUBTOTAL(9,D9:D13)</f>
        <v>1082</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50</v>
      </c>
      <c r="C17" s="451">
        <f>IF(ISNUMBER(Datos!Q17),Datos!Q17," - ")</f>
        <v>41</v>
      </c>
      <c r="D17" s="420">
        <f>IF(ISNUMBER(Datos!R17),Datos!R17," - ")</f>
        <v>175</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50</v>
      </c>
      <c r="C20" s="1000">
        <f>SUBTOTAL(9,C16:C19)</f>
        <v>41</v>
      </c>
      <c r="D20" s="998">
        <f>SUBTOTAL(9,D16:D19)</f>
        <v>175</v>
      </c>
    </row>
    <row r="21" spans="1:4" ht="16.5" customHeight="1" thickTop="1" thickBot="1">
      <c r="A21" s="940" t="str">
        <f>Datos!A21</f>
        <v>TOTAL JURISDICCIONES</v>
      </c>
      <c r="B21" s="945">
        <f>SUBTOTAL(9,B8:B20)</f>
        <v>151</v>
      </c>
      <c r="C21" s="946">
        <f>SUBTOTAL(9,C8:C20)</f>
        <v>184</v>
      </c>
      <c r="D21" s="947">
        <f>SUBTOTAL(9,D8:D20)</f>
        <v>1257</v>
      </c>
    </row>
    <row r="22" spans="1:4" ht="7.5" customHeight="1"/>
    <row r="23" spans="1:4" ht="6" customHeight="1"/>
    <row r="24" spans="1:4">
      <c r="A24" s="403" t="str">
        <f>Criterios!A4</f>
        <v>Fecha Informe: 06 jun. 2023</v>
      </c>
    </row>
    <row r="29" spans="1:4">
      <c r="A29" s="426"/>
    </row>
  </sheetData>
  <sheetProtection algorithmName="SHA-512" hashValue="DjBSq5QOALZIx8nwmQKDTLKtx3G6Llk3oUYrlK2jsiKFcVqGDyYAa6ES7Z9qGkxmZSCxpwScHdVDkcN77RcULA==" saltValue="G2q8+3dXxQWvBCwXFypx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PAIS VASCO</v>
      </c>
    </row>
    <row r="3" spans="1:11" ht="18.75" customHeight="1">
      <c r="A3" s="446" t="s">
        <v>131</v>
      </c>
      <c r="B3" s="403" t="str">
        <f>Criterios!A10 &amp;"  "&amp;Criterios!B10</f>
        <v>Provincias  GIPUZKOA</v>
      </c>
    </row>
    <row r="4" spans="1:11" ht="10.5" customHeight="1" thickBot="1">
      <c r="B4" s="403" t="str">
        <f>Criterios!A11 &amp;"  "&amp;Criterios!B11</f>
        <v>Resumenes por Partidos Judiciales  TOLOSA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0.46153846153846156</v>
      </c>
      <c r="C10" s="473">
        <f>IF(ISNUMBER((Datos!J10-Datos!T10)/Datos!T10),(Datos!J10-Datos!T10)/Datos!T10," - ")</f>
        <v>0.2</v>
      </c>
      <c r="D10" s="473">
        <f>IF(ISNUMBER((Datos!K10-Datos!U10)/Datos!U10),(Datos!K10-Datos!U10)/Datos!U10," - ")</f>
        <v>1.8</v>
      </c>
      <c r="E10" s="473">
        <f>IF(ISNUMBER((Datos!L10-Datos!V10)/Datos!V10),(Datos!L10-Datos!V10)/Datos!V10," - ")</f>
        <v>0.64516129032258063</v>
      </c>
      <c r="F10" s="473">
        <f>IF(ISNUMBER((Datos!M10-Datos!W10)/Datos!W10),(Datos!M10-Datos!W10)/Datos!W10," - ")</f>
        <v>3</v>
      </c>
      <c r="G10" s="474" t="str">
        <f>IF(ISNUMBER((Datos!N10-Datos!X10)/Datos!X10),(Datos!N10-Datos!X10)/Datos!X10," - ")</f>
        <v xml:space="preserve"> - </v>
      </c>
      <c r="H10" s="472">
        <f>IF(ISNUMBER(((NºAsuntos!G10/NºAsuntos!E10)-Datos!BD10)/Datos!BD10),((NºAsuntos!G10/NºAsuntos!E10)-Datos!BD10)/Datos!BD10," - ")</f>
        <v>1.3333333333333335</v>
      </c>
      <c r="I10" s="473">
        <f>IF(ISNUMBER(((NºAsuntos!I10/NºAsuntos!G10)-Datos!BE10)/Datos!BE10),((NºAsuntos!I10/NºAsuntos!G10)-Datos!BE10)/Datos!BE10," - ")</f>
        <v>-0.4124423963133641</v>
      </c>
      <c r="J10" s="478">
        <f>IF(ISNUMBER((('Resol  Asuntos'!D10/NºAsuntos!G10)-Datos!BF10)/Datos!BF10),(('Resol  Asuntos'!D10/NºAsuntos!G10)-Datos!BF10)/Datos!BF10," - ")</f>
        <v>0.42857142857142844</v>
      </c>
      <c r="K10" s="479">
        <f>IF(ISNUMBER((((NºAsuntos!C10+NºAsuntos!E10)/NºAsuntos!G10)-Datos!BG10)/Datos!BG10),(((NºAsuntos!C10+NºAsuntos!E10)/NºAsuntos!G10)-Datos!BG10)/Datos!BG10," - ")</f>
        <v>-0.50396825396825395</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0.23759791122715404</v>
      </c>
      <c r="C12" s="473">
        <f>IF(ISNUMBER(
   IF(J_V="SI",(Datos!J12-Datos!T12)/Datos!T12,(Datos!J12+Datos!Z12-(Datos!T12+Datos!AH12))/(Datos!T12+Datos!AH12))
     ),IF(J_V="SI",(Datos!J12-Datos!T12)/Datos!T12,(Datos!J12+Datos!Z12-(Datos!T12+Datos!AH12))/(Datos!T12+Datos!AH12))," - ")</f>
        <v>-9.6718480138169263E-2</v>
      </c>
      <c r="D12" s="473">
        <f>IF(ISNUMBER(
   IF(J_V="SI",(Datos!K12-Datos!U12)/Datos!U12,(Datos!K12+Datos!AA12-(Datos!U12+Datos!AI12))/(Datos!U12+Datos!AI12))
     ),IF(J_V="SI",(Datos!K12-Datos!U12)/Datos!U12,(Datos!K12+Datos!AA12-(Datos!U12+Datos!AI12))/(Datos!U12+Datos!AI12))," - ")</f>
        <v>0.10855949895615867</v>
      </c>
      <c r="E12" s="473">
        <f>IF(ISNUMBER(
   IF(J_V="SI",(Datos!L12-Datos!V12)/Datos!V12,(Datos!L12+Datos!AB12-(Datos!V12+Datos!AJ12))/(Datos!V12+Datos!AJ12))
     ),IF(J_V="SI",(Datos!L12-Datos!V12)/Datos!V12,(Datos!L12+Datos!AB12-(Datos!V12+Datos!AJ12))/(Datos!V12+Datos!AJ12))," - ")</f>
        <v>9.8636728147554129E-2</v>
      </c>
      <c r="F12" s="473">
        <f>IF(ISNUMBER((Datos!M12-Datos!W12)/Datos!W12),(Datos!M12-Datos!W12)/Datos!W12," - ")</f>
        <v>0.41592920353982299</v>
      </c>
      <c r="G12" s="474">
        <f>IF(ISNUMBER((Datos!N12-Datos!X12)/Datos!X12),(Datos!N12-Datos!X12)/Datos!X12," - ")</f>
        <v>-5.0561797752808987E-2</v>
      </c>
      <c r="H12" s="472">
        <f>IF(ISNUMBER(((NºAsuntos!G12/NºAsuntos!E12)-Datos!BD12)/Datos!BD12),((NºAsuntos!G12/NºAsuntos!E12)-Datos!BD12)/Datos!BD12," - ")</f>
        <v>0.2272580303931471</v>
      </c>
      <c r="I12" s="473">
        <f>IF(ISNUMBER(((NºAsuntos!I12/NºAsuntos!G12)-Datos!BE12)/Datos!BE12),((NºAsuntos!I12/NºAsuntos!G12)-Datos!BE12)/Datos!BE12," - ")</f>
        <v>-8.951049373487039E-3</v>
      </c>
      <c r="J12" s="478">
        <f>IF(ISNUMBER((('Resol  Asuntos'!D12/NºAsuntos!G12)-Datos!BF12)/Datos!BF12),(('Resol  Asuntos'!D12/NºAsuntos!G12)-Datos!BF12)/Datos!BF12," - ")</f>
        <v>-0.18914915677437114</v>
      </c>
      <c r="K12" s="479">
        <f>IF(ISNUMBER((((NºAsuntos!C12+NºAsuntos!E12)/NºAsuntos!G12)-Datos!BG12)/Datos!BG12),(((NºAsuntos!C12+NºAsuntos!E12)/NºAsuntos!G12)-Datos!BG12)/Datos!BG12," - ")</f>
        <v>1.5352540629141322E-2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0.24255319148936169</v>
      </c>
      <c r="C14" s="1002">
        <f>IF(ISNUMBER(
   IF(J_V="SI",(Datos!J14-Datos!T14)/Datos!T14,(Datos!J14+Datos!Z14-(Datos!T14+Datos!AH14))/(Datos!T14+Datos!AH14))
     ),IF(J_V="SI",(Datos!J14-Datos!T14)/Datos!T14,(Datos!J14+Datos!Z14-(Datos!T14+Datos!AH14))/(Datos!T14+Datos!AH14))," - ")</f>
        <v>-9.1680814940577254E-2</v>
      </c>
      <c r="D14" s="1002">
        <f>IF(ISNUMBER(
   IF(J_V="SI",(Datos!K14-Datos!U14)/Datos!U14,(Datos!K14+Datos!AA14-(Datos!U14+Datos!AI14))/(Datos!U14+Datos!AI14))
     ),IF(J_V="SI",(Datos!K14-Datos!U14)/Datos!U14,(Datos!K14+Datos!AA14-(Datos!U14+Datos!AI14))/(Datos!U14+Datos!AI14))," - ")</f>
        <v>0.12603305785123967</v>
      </c>
      <c r="E14" s="1002">
        <f>IF(ISNUMBER(
   IF(J_V="SI",(Datos!L14-Datos!V14)/Datos!V14,(Datos!L14+Datos!AB14-(Datos!V14+Datos!AJ14))/(Datos!V14+Datos!AJ14))
     ),IF(J_V="SI",(Datos!L14-Datos!V14)/Datos!V14,(Datos!L14+Datos!AB14-(Datos!V14+Datos!AJ14))/(Datos!V14+Datos!AJ14))," - ")</f>
        <v>0.11189358372456965</v>
      </c>
      <c r="F14" s="1003">
        <f>IF(ISNUMBER((Datos!M14-Datos!W14)/Datos!W14),(Datos!M14-Datos!W14)/Datos!W14," - ")</f>
        <v>0.46086956521739131</v>
      </c>
      <c r="G14" s="1004">
        <f>IF(ISNUMBER((Datos!N14-Datos!X14)/Datos!X14),(Datos!N14-Datos!X14)/Datos!X14," - ")</f>
        <v>-3.3707865168539325E-2</v>
      </c>
      <c r="H14" s="1004">
        <f>IF(ISNUMBER(((NºAsuntos!G14/NºAsuntos!E14)-Datos!BD14)/Datos!BD14),((NºAsuntos!G14/NºAsuntos!E14)-Datos!BD14)/Datos!BD14," - ")</f>
        <v>0.23968873098014987</v>
      </c>
      <c r="I14" s="1004">
        <f>IF(ISNUMBER(((NºAsuntos!I14/NºAsuntos!G14)-Datos!BE14)/Datos!BE14),((NºAsuntos!I14/NºAsuntos!G14)-Datos!BE14)/Datos!BE14," - ")</f>
        <v>-1.255689078405204E-2</v>
      </c>
      <c r="J14" s="1004">
        <f>IF(ISNUMBER((('Resol  Asuntos'!D14/NºAsuntos!G14)-Datos!BF14)/Datos!BF14),(('Resol  Asuntos'!D14/NºAsuntos!G14)-Datos!BF14)/Datos!BF14," - ")</f>
        <v>-0.17113149847094794</v>
      </c>
      <c r="K14" s="1004">
        <f>IF(ISNUMBER((((NºAsuntos!C14+NºAsuntos!E14)/NºAsuntos!G14)-Datos!BG14)/Datos!BG14),(((NºAsuntos!C14+NºAsuntos!E14)/NºAsuntos!G14)-Datos!BG14)/Datos!BG14," - ")</f>
        <v>4.3687199650502299E-3</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0.11712439418416801</v>
      </c>
      <c r="C17" s="473">
        <f>IF(ISNUMBER(
   IF(D_I="SI",(Datos!J17-Datos!T17)/Datos!T17,(Datos!J17+Datos!AD17-(Datos!T17+Datos!AL17))/(Datos!T17+Datos!AL17))
     ),IF(D_I="SI",(Datos!J17-Datos!T17)/Datos!T17,(Datos!J17+Datos!AD17-(Datos!T17+Datos!AL17))/(Datos!T17+Datos!AL17))," - ")</f>
        <v>-0.19305555555555556</v>
      </c>
      <c r="D17" s="473">
        <f>IF(ISNUMBER(
   IF(D_I="SI",(Datos!K17-Datos!U17)/Datos!U17,(Datos!K17+Datos!AE17-(Datos!U17+Datos!AM17))/(Datos!U17+Datos!AM17))
     ),IF(D_I="SI",(Datos!K17-Datos!U17)/Datos!U17,(Datos!K17+Datos!AE17-(Datos!U17+Datos!AM17))/(Datos!U17+Datos!AM17))," - ")</f>
        <v>-0.12790697674418605</v>
      </c>
      <c r="E17" s="473">
        <f>IF(ISNUMBER(
   IF(D_I="SI",(Datos!L17-Datos!V17)/Datos!V17,(Datos!L17+Datos!AF17-(Datos!V17+Datos!AN17))/(Datos!V17+Datos!AN17))
     ),IF(D_I="SI",(Datos!L17-Datos!V17)/Datos!V17,(Datos!L17+Datos!AF17-(Datos!V17+Datos!AN17))/(Datos!V17+Datos!AN17))," - ")</f>
        <v>7.3113207547169809E-2</v>
      </c>
      <c r="F17" s="473">
        <f>IF(ISNUMBER((Datos!M17-Datos!W17)/Datos!W17),(Datos!M17-Datos!W17)/Datos!W17," - ")</f>
        <v>-0.27710843373493976</v>
      </c>
      <c r="G17" s="474">
        <f>IF(ISNUMBER((Datos!N17-Datos!X17)/Datos!X17),(Datos!N17-Datos!X17)/Datos!X17," - ")</f>
        <v>7.3800738007380072E-3</v>
      </c>
      <c r="H17" s="472">
        <f>IF(ISNUMBER(((NºAsuntos!G17/NºAsuntos!E17)-Datos!BD17)/Datos!BD17),((NºAsuntos!G17/NºAsuntos!E17)-Datos!BD17)/Datos!BD17," - ")</f>
        <v>8.0734899731817647E-2</v>
      </c>
      <c r="I17" s="473">
        <f>IF(ISNUMBER(((NºAsuntos!I17/NºAsuntos!G17)-Datos!BE17)/Datos!BE17),((NºAsuntos!I17/NºAsuntos!G17)-Datos!BE17)/Datos!BE17," - ")</f>
        <v>0.23050314465408803</v>
      </c>
      <c r="J17" s="478">
        <f>IF(ISNUMBER((('Resol  Asuntos'!D17/NºAsuntos!G17)-Datos!BF17)/Datos!BF17),(('Resol  Asuntos'!D17/NºAsuntos!G17)-Datos!BF17)/Datos!BF17," - ")</f>
        <v>-0.1710843373493976</v>
      </c>
      <c r="K17" s="479">
        <f>IF(ISNUMBER((((NºAsuntos!C17+NºAsuntos!E17)/NºAsuntos!G17)-Datos!BG17)/Datos!BG17),(((NºAsuntos!C17+NºAsuntos!E17)/NºAsuntos!G17)-Datos!BG17)/Datos!BG17," - ")</f>
        <v>0.15018045624787205</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0.56818181818181823</v>
      </c>
      <c r="C18" s="473">
        <f>IF(ISNUMBER(
   IF(D_I="SI",(Datos!J18-Datos!T18)/Datos!T18,(Datos!J18+Datos!AD18-(Datos!T18+Datos!AL18))/(Datos!T18+Datos!AL18))
     ),IF(D_I="SI",(Datos!J18-Datos!T18)/Datos!T18,(Datos!J18+Datos!AD18-(Datos!T18+Datos!AL18))/(Datos!T18+Datos!AL18))," - ")</f>
        <v>-0.23684210526315788</v>
      </c>
      <c r="D18" s="473">
        <f>IF(ISNUMBER(
   IF(D_I="SI",(Datos!K18-Datos!U18)/Datos!U18,(Datos!K18+Datos!AE18-(Datos!U18+Datos!AM18))/(Datos!U18+Datos!AM18))
     ),IF(D_I="SI",(Datos!K18-Datos!U18)/Datos!U18,(Datos!K18+Datos!AE18-(Datos!U18+Datos!AM18))/(Datos!U18+Datos!AM18))," - ")</f>
        <v>-0.15492957746478872</v>
      </c>
      <c r="E18" s="473">
        <f>IF(ISNUMBER(
   IF(D_I="SI",(Datos!L18-Datos!V18)/Datos!V18,(Datos!L18+Datos!AF18-(Datos!V18+Datos!AN18))/(Datos!V18+Datos!AN18))
     ),IF(D_I="SI",(Datos!L18-Datos!V18)/Datos!V18,(Datos!L18+Datos!AF18-(Datos!V18+Datos!AN18))/(Datos!V18+Datos!AN18))," - ")</f>
        <v>0.46236559139784944</v>
      </c>
      <c r="F18" s="473">
        <f>IF(ISNUMBER((Datos!M18-Datos!W18)/Datos!W18),(Datos!M18-Datos!W18)/Datos!W18," - ")</f>
        <v>0.75</v>
      </c>
      <c r="G18" s="474">
        <f>IF(ISNUMBER((Datos!N18-Datos!X18)/Datos!X18),(Datos!N18-Datos!X18)/Datos!X18," - ")</f>
        <v>-0.13043478260869565</v>
      </c>
      <c r="H18" s="472">
        <f>IF(ISNUMBER(((NºAsuntos!G18/NºAsuntos!E18)-Datos!BD18)/Datos!BD18),((NºAsuntos!G18/NºAsuntos!E18)-Datos!BD18)/Datos!BD18," - ")</f>
        <v>0.10733365711510447</v>
      </c>
      <c r="I18" s="473">
        <f>IF(ISNUMBER(((NºAsuntos!I18/NºAsuntos!G18)-Datos!BE18)/Datos!BE18),((NºAsuntos!I18/NºAsuntos!G18)-Datos!BE18)/Datos!BE18," - ")</f>
        <v>0.7304659498207885</v>
      </c>
      <c r="J18" s="478">
        <f>IF(ISNUMBER((('Resol  Asuntos'!D18/NºAsuntos!G18)-Datos!BF18)/Datos!BF18),(('Resol  Asuntos'!D18/NºAsuntos!G18)-Datos!BF18)/Datos!BF18," - ")</f>
        <v>1.0708333333333333</v>
      </c>
      <c r="K18" s="479">
        <f>IF(ISNUMBER((((NºAsuntos!C18+NºAsuntos!E18)/NºAsuntos!G18)-Datos!BG18)/Datos!BG18),(((NºAsuntos!C18+NºAsuntos!E18)/NºAsuntos!G18)-Datos!BG18)/Datos!BG18," - ")</f>
        <v>0.41422764227642273</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0.14705882352941177</v>
      </c>
      <c r="C20" s="1002">
        <f>IF(ISNUMBER(
   IF(Criterios!B14="SI",(Datos!J20-Datos!T20)/Datos!T20,(Datos!J20+Datos!AD20-(Datos!T20+Datos!AL20))/(Datos!T20+Datos!AL20))
     ),IF(Criterios!B14="SI",(Datos!J20-Datos!T20)/Datos!T20,(Datos!J20+Datos!AD20-(Datos!T20+Datos!AL20))/(Datos!T20+Datos!AL20))," - ")</f>
        <v>-0.19723618090452261</v>
      </c>
      <c r="D20" s="1002">
        <f>IF(ISNUMBER(
   IF(Criterios!B14="SI",(Datos!K20-Datos!U20)/Datos!U20,(Datos!K20+Datos!AE20-(Datos!U20+Datos!AM20))/(Datos!U20+Datos!AM20))
     ),IF(Criterios!B14="SI",(Datos!K20-Datos!U20)/Datos!U20,(Datos!K20+Datos!AE20-(Datos!U20+Datos!AM20))/(Datos!U20+Datos!AM20))," - ")</f>
        <v>-0.13043478260869565</v>
      </c>
      <c r="E20" s="1002">
        <f>IF(ISNUMBER(
   IF(Criterios!B14="SI",(Datos!L20-Datos!V20)/Datos!V20,(Datos!L20+Datos!AF20-(Datos!V20+Datos!AN20))/(Datos!V20+Datos!AN20))
     ),IF(Criterios!B14="SI",(Datos!L20-Datos!V20)/Datos!V20,(Datos!L20+Datos!AF20-(Datos!V20+Datos!AN20))/(Datos!V20+Datos!AN20))," - ")</f>
        <v>9.9633699633699641E-2</v>
      </c>
      <c r="F20" s="1003">
        <f>IF(ISNUMBER((Datos!M20-Datos!W20)/Datos!W20),(Datos!M20-Datos!W20)/Datos!W20," - ")</f>
        <v>-0.22988505747126436</v>
      </c>
      <c r="G20" s="1004">
        <f>IF(ISNUMBER((Datos!N20-Datos!X20)/Datos!X20),(Datos!N20-Datos!X20)/Datos!X20," - ")</f>
        <v>-3.4013605442176869E-3</v>
      </c>
      <c r="H20" s="1004">
        <f>IF(ISNUMBER(((NºAsuntos!G20/NºAsuntos!E20)-Datos!BD20)/Datos!BD20),((NºAsuntos!G20/NºAsuntos!E20)-Datos!BD20)/Datos!BD20," - ")</f>
        <v>8.3214261413893972E-2</v>
      </c>
      <c r="I20" s="1004">
        <f>IF(ISNUMBER(((NºAsuntos!I20/NºAsuntos!G20)-Datos!BE20)/Datos!BE20),((NºAsuntos!I20/NºAsuntos!G20)-Datos!BE20)/Datos!BE20," - ")</f>
        <v>0.26457875457875463</v>
      </c>
      <c r="J20" s="1004">
        <f>IF(ISNUMBER((('Resol  Asuntos'!D20/NºAsuntos!G20)-Datos!BF20)/Datos!BF20),(('Resol  Asuntos'!D20/NºAsuntos!G20)-Datos!BF20)/Datos!BF20," - ")</f>
        <v>-0.11436781609195404</v>
      </c>
      <c r="K20" s="1004">
        <f>IF(ISNUMBER((((NºAsuntos!C20+NºAsuntos!E20)/NºAsuntos!G20)-Datos!BG20)/Datos!BG20),(((NºAsuntos!C20+NºAsuntos!E20)/NºAsuntos!G20)-Datos!BG20)/Datos!BG20," - ")</f>
        <v>0.17059377945334592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0.19192323070771691</v>
      </c>
      <c r="C21" s="949">
        <f>IF(ISNUMBER(
   IF(J_V="SI",(Datos!J21-Datos!T21)/Datos!T21,(Datos!J21+Datos!Z21-(Datos!T21+Datos!AH21))/(Datos!T21+Datos!AH21))
     ),IF(J_V="SI",(Datos!J21-Datos!T21)/Datos!T21,(Datos!J21+Datos!Z21-(Datos!T21+Datos!AH21))/(Datos!T21+Datos!AH21))," - ")</f>
        <v>-0.15234657039711191</v>
      </c>
      <c r="D21" s="949">
        <f>IF(ISNUMBER(
   IF(J_V="SI",(Datos!K21-Datos!U21)/Datos!U21,(Datos!K21+Datos!AA21-(Datos!U21+Datos!AI21))/(Datos!U21+Datos!AI21))
     ),IF(J_V="SI",(Datos!K21-Datos!U21)/Datos!U21,(Datos!K21+Datos!AA21-(Datos!U21+Datos!AI21))/(Datos!U21+Datos!AI21))," - ")</f>
        <v>-3.0571198712791632E-2</v>
      </c>
      <c r="E21" s="949">
        <f>IF(ISNUMBER(
   IF(J_V="SI",(Datos!L21-Datos!V21)/Datos!V21,(Datos!L21+Datos!AB21-(Datos!V21+Datos!AJ21))/(Datos!V21+Datos!AJ21))
     ),IF(J_V="SI",(Datos!L21-Datos!V21)/Datos!V21,(Datos!L21+Datos!AB21-(Datos!V21+Datos!AJ21))/(Datos!V21+Datos!AJ21))," - ")</f>
        <v>0.10556186152099886</v>
      </c>
      <c r="F21" s="950">
        <f>IF(ISNUMBER((Datos!M21-Datos!W21)/Datos!W21),(Datos!M21-Datos!W21)/Datos!W21," - ")</f>
        <v>4.4982698961937718E-2</v>
      </c>
      <c r="G21" s="951">
        <f>IF(ISNUMBER((Datos!N21-Datos!X21)/Datos!X21),(Datos!N21-Datos!X21)/Datos!X21," - ")</f>
        <v>-1.4830508474576272E-2</v>
      </c>
      <c r="H21" s="952">
        <f>IF(ISNUMBER((Tasas!B21-Datos!BD21)/Datos!BD21),(Tasas!B21-Datos!BD21)/Datos!BD21," - ")</f>
        <v>0.14366174598192821</v>
      </c>
      <c r="I21" s="953">
        <f>IF(ISNUMBER((Tasas!C21-Datos!BE21)/Datos!BE21),(Tasas!C21-Datos!BE21)/Datos!BE21," - ")</f>
        <v>0.14042605300464855</v>
      </c>
      <c r="J21" s="954">
        <f>IF(ISNUMBER((Tasas!D21-Datos!BF21)/Datos!BF21),(Tasas!D21-Datos!BF21)/Datos!BF21," - ")</f>
        <v>-0.11998968516304476</v>
      </c>
      <c r="K21" s="954">
        <f>IF(ISNUMBER((Tasas!E21-Datos!BG21)/Datos!BG21),(Tasas!E21-Datos!BG21)/Datos!BG21," - ")</f>
        <v>0.10294108225505759</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FodFGpqQ6447hZqpp/avcBtphKCPslMgyMxy1cWCq4RZB4Lk5nW0ZTd3dkv8ZOr3G4tcTXa+pTPtsOEOZ7xoiA==" saltValue="cv2RpqRsaWcm6rRmgENJG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PAIS VASCO</v>
      </c>
    </row>
    <row r="3" spans="1:7" ht="19.5">
      <c r="A3" s="453" t="s">
        <v>12</v>
      </c>
      <c r="B3" s="403" t="str">
        <f>Criterios!A10 &amp;"  "&amp;Criterios!B10</f>
        <v>Provincias  GIPUZKOA</v>
      </c>
    </row>
    <row r="4" spans="1:7" ht="11.25" customHeight="1" thickBot="1">
      <c r="B4" s="403" t="str">
        <f>Criterios!A11 &amp;"  "&amp;Criterios!B11</f>
        <v>Resumenes por Partidos Judiciales  TOLOSA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1.1666666666666667</v>
      </c>
      <c r="C10" s="460">
        <f>IF(ISNUMBER(NºAsuntos!I10/NºAsuntos!G10),NºAsuntos!I10/NºAsuntos!G10," - ")</f>
        <v>3.6428571428571428</v>
      </c>
      <c r="D10" s="461">
        <f>IF(ISNUMBER('Resol  Asuntos'!D10/NºAsuntos!G10),'Resol  Asuntos'!D10/NºAsuntos!G10," - ")</f>
        <v>0.5714285714285714</v>
      </c>
      <c r="E10" s="462">
        <f>IF(ISNUMBER((NºAsuntos!C10+NºAsuntos!E10)/NºAsuntos!G10),(NºAsuntos!C10+NºAsuntos!E10)/NºAsuntos!G10," - ")</f>
        <v>3.5714285714285716</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1.0152963671128108</v>
      </c>
      <c r="C12" s="460">
        <f>IF(ISNUMBER(NºAsuntos!I12/NºAsuntos!G12),NºAsuntos!I12/NºAsuntos!G12," - ")</f>
        <v>2.5800376647834273</v>
      </c>
      <c r="D12" s="461">
        <f>IF(ISNUMBER('Resol  Asuntos'!D12/NºAsuntos!G12),'Resol  Asuntos'!D12/NºAsuntos!G12," - ")</f>
        <v>0.30131826741996232</v>
      </c>
      <c r="E12" s="462">
        <f>IF(ISNUMBER((NºAsuntos!C12+NºAsuntos!E12)/NºAsuntos!G12),(NºAsuntos!C12+NºAsuntos!E12)/NºAsuntos!G12," - ")</f>
        <v>3.662900188323917</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1.0186915887850467</v>
      </c>
      <c r="C14" s="1006">
        <f>IF(ISNUMBER(NºAsuntos!I14/NºAsuntos!G14),NºAsuntos!I14/NºAsuntos!G14," - ")</f>
        <v>2.6073394495412843</v>
      </c>
      <c r="D14" s="1007">
        <f>IF(ISNUMBER('Resol  Asuntos'!D14/NºAsuntos!G14),'Resol  Asuntos'!D14/NºAsuntos!G14," - ")</f>
        <v>0.30825688073394497</v>
      </c>
      <c r="E14" s="1008">
        <f>IF(ISNUMBER((NºAsuntos!C14+NºAsuntos!E14)/NºAsuntos!G14),(NºAsuntos!C14+NºAsuntos!E14)/NºAsuntos!G14," - ")</f>
        <v>3.6605504587155964</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1.0327022375215147</v>
      </c>
      <c r="C17" s="460">
        <f>IF(ISNUMBER(NºAsuntos!I17/NºAsuntos!G17),NºAsuntos!I17/NºAsuntos!G17," - ")</f>
        <v>2.2749999999999999</v>
      </c>
      <c r="D17" s="461">
        <f>IF(ISNUMBER('Resol  Asuntos'!D17/NºAsuntos!G17),'Resol  Asuntos'!D17/NºAsuntos!G17," - ")</f>
        <v>0.2</v>
      </c>
      <c r="E17" s="462">
        <f>IF(ISNUMBER((NºAsuntos!C17+NºAsuntos!E17)/NºAsuntos!G17),(NºAsuntos!C17+NºAsuntos!E17)/NºAsuntos!G17," - ")</f>
        <v>3.2733333333333334</v>
      </c>
      <c r="G17" s="480"/>
    </row>
    <row r="18" spans="1:7">
      <c r="A18" s="414" t="str">
        <f>Datos!A18</f>
        <v>Jdos. Violencia contra la mujer</v>
      </c>
      <c r="B18" s="459">
        <f>IF(ISNUMBER(NºAsuntos!G18/NºAsuntos!E18),NºAsuntos!G18/NºAsuntos!E18," - ")</f>
        <v>1.0344827586206897</v>
      </c>
      <c r="C18" s="460">
        <f>IF(ISNUMBER(NºAsuntos!I18/NºAsuntos!G18),NºAsuntos!I18/NºAsuntos!G18," - ")</f>
        <v>2.2666666666666666</v>
      </c>
      <c r="D18" s="461">
        <f>IF(ISNUMBER('Resol  Asuntos'!D18/NºAsuntos!G18),'Resol  Asuntos'!D18/NºAsuntos!G18," - ")</f>
        <v>0.23333333333333334</v>
      </c>
      <c r="E18" s="462">
        <f>IF(ISNUMBER((NºAsuntos!C18+NºAsuntos!E18)/NºAsuntos!G18),(NºAsuntos!C18+NºAsuntos!E18)/NºAsuntos!G18," - ")</f>
        <v>3.2666666666666666</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1.0328638497652582</v>
      </c>
      <c r="C20" s="1006">
        <f>IF(ISNUMBER(NºAsuntos!I20/NºAsuntos!G20),NºAsuntos!I20/NºAsuntos!G20," - ")</f>
        <v>2.2742424242424244</v>
      </c>
      <c r="D20" s="1009">
        <f>IF(ISNUMBER('Resol  Asuntos'!D20/NºAsuntos!G20),'Resol  Asuntos'!D20/NºAsuntos!G20," - ")</f>
        <v>0.20303030303030303</v>
      </c>
      <c r="E20" s="1008">
        <f>IF(ISNUMBER((NºAsuntos!C20+NºAsuntos!E20)/NºAsuntos!G20),(NºAsuntos!C20+NºAsuntos!E20)/NºAsuntos!G20," - ")</f>
        <v>3.2727272727272729</v>
      </c>
      <c r="G20" s="480"/>
    </row>
    <row r="21" spans="1:7" ht="15.75" customHeight="1" thickTop="1" thickBot="1">
      <c r="A21" s="940" t="str">
        <f>Datos!A21</f>
        <v>TOTAL JURISDICCIONES</v>
      </c>
      <c r="B21" s="955">
        <f>IF(ISNUMBER(NºAsuntos!G21/NºAsuntos!E21),NºAsuntos!G21/NºAsuntos!E21," - ")</f>
        <v>1.026405451448041</v>
      </c>
      <c r="C21" s="956">
        <f>IF(ISNUMBER(NºAsuntos!I21/NºAsuntos!G21),NºAsuntos!I21/NºAsuntos!G21," - ")</f>
        <v>2.4248962655601658</v>
      </c>
      <c r="D21" s="957">
        <f>IF(ISNUMBER('Resol  Asuntos'!D21/NºAsuntos!G21),'Resol  Asuntos'!D21/NºAsuntos!G21," - ")</f>
        <v>0.25062240663900415</v>
      </c>
      <c r="E21" s="958">
        <f>IF(ISNUMBER((NºAsuntos!C21+NºAsuntos!E21)/NºAsuntos!G21),(NºAsuntos!C21+NºAsuntos!E21)/NºAsuntos!G21," - ")</f>
        <v>3.4481327800829877</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q5MC/IE/+2g5m7f64icZ5Jio0cyXDoewOcMfDQS9xZRbNu0YckSRLmLOqEm2FQox6uaAFtNgUnA1tXxxM8fRpw==" saltValue="TfQe7TvqWDb5vjU9ieIKI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PAIS VASCO</v>
      </c>
      <c r="G2" s="340"/>
      <c r="H2" s="339"/>
      <c r="I2" s="339"/>
      <c r="J2" s="339"/>
      <c r="K2" s="339"/>
      <c r="L2" s="339" t="str">
        <f>Criterios!A10 &amp;"  "&amp;Criterios!B10</f>
        <v>Provincias  GIPUZKOA</v>
      </c>
      <c r="N2" s="339" t="str">
        <f>Criterios!A11 &amp;"  "&amp;Criterios!B11</f>
        <v>Resumenes por Partidos Judiciales  TOLOSA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53</v>
      </c>
      <c r="G10" s="343">
        <f>IF(ISNUMBER(Datos!I10),Datos!I10," - ")</f>
        <v>38</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14</v>
      </c>
      <c r="X10" s="231">
        <f>IF(ISNUMBER(Datos!Q10),Datos!Q10," - ")</f>
        <v>0</v>
      </c>
      <c r="Y10" s="344">
        <f t="shared" ref="Y10:Y13" si="0">SUM(W10:X10)</f>
        <v>14</v>
      </c>
      <c r="Z10" s="345" t="str">
        <f>IF(ISNUMBER(Datos!CC10),Datos!CC10," - ")</f>
        <v xml:space="preserve"> - </v>
      </c>
      <c r="AA10" s="342">
        <f>IF(ISNUMBER(Datos!L10),Datos!L10,"-")</f>
        <v>51</v>
      </c>
      <c r="AB10" s="344">
        <f>IF(ISNUMBER(Datos!R10),Datos!R10," - ")</f>
        <v>0</v>
      </c>
      <c r="AC10" s="344">
        <f t="shared" ref="AC10:AC13" si="1">IF(ISNUMBER(AA10+AB10),AA10+AB10," - ")</f>
        <v>51</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8</v>
      </c>
      <c r="AJ10" s="236" t="str">
        <f>IF(ISNUMBER(Datos!BW10),Datos!BW10," - ")</f>
        <v xml:space="preserve"> - </v>
      </c>
      <c r="AK10" s="237" t="str">
        <f>IF(ISNUMBER(Datos!BX10),Datos!BX10," - ")</f>
        <v xml:space="preserve"> - </v>
      </c>
      <c r="AL10" s="248">
        <f>IF(ISNUMBER(NºAsuntos!G10/NºAsuntos!E10),NºAsuntos!G10/NºAsuntos!E10," - ")</f>
        <v>1.1666666666666667</v>
      </c>
      <c r="AM10" s="265">
        <f>IF(ISNUMBER(((NºAsuntos!I10/NºAsuntos!G10)*11)/factor_trimestre),((NºAsuntos!I10/NºAsuntos!G10)*11)/factor_trimestre," - ")</f>
        <v>10.928571428571429</v>
      </c>
      <c r="AN10" s="249">
        <f>IF(ISNUMBER('Resol  Asuntos'!D10/NºAsuntos!G10),'Resol  Asuntos'!D10/NºAsuntos!G10," - ")</f>
        <v>0.5714285714285714</v>
      </c>
      <c r="AO10" s="250">
        <f>IF(ISNUMBER((NºAsuntos!C10+NºAsuntos!E10)/NºAsuntos!G10),(NºAsuntos!C10+NºAsuntos!E10)/NºAsuntos!G10," - ")</f>
        <v>3.5714285714285716</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4</v>
      </c>
      <c r="B12" s="280" t="s">
        <v>273</v>
      </c>
      <c r="C12" s="7" t="str">
        <f>Datos!A12</f>
        <v xml:space="preserve">Jdos. 1ª Instª. e Instr.                        </v>
      </c>
      <c r="D12" s="7"/>
      <c r="E12" s="1205">
        <f>IF(ISNUMBER(Datos!AQ12),Datos!AQ12," - ")</f>
        <v>4</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101</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143</v>
      </c>
      <c r="Y12" s="344">
        <f t="shared" si="0"/>
        <v>143</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1082</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160</v>
      </c>
      <c r="AJ12" s="234" t="str">
        <f>IF(ISNUMBER(Datos!BW12),Datos!BW12," - ")</f>
        <v xml:space="preserve"> - </v>
      </c>
      <c r="AK12" s="233" t="str">
        <f>IF(ISNUMBER(Datos!BX12),Datos!BX12," - ")</f>
        <v xml:space="preserve"> - </v>
      </c>
      <c r="AL12" s="248">
        <f>IF(ISNUMBER(NºAsuntos!G12/NºAsuntos!E12),NºAsuntos!G12/NºAsuntos!E12," - ")</f>
        <v>1.0152963671128108</v>
      </c>
      <c r="AM12" s="265">
        <f>IF(ISNUMBER(((NºAsuntos!I12/NºAsuntos!G12)*11)/factor_trimestre),((NºAsuntos!I12/NºAsuntos!G12)*11)/factor_trimestre," - ")</f>
        <v>7.7401129943502829</v>
      </c>
      <c r="AN12" s="249">
        <f>IF(ISNUMBER('Resol  Asuntos'!D12/NºAsuntos!G12),'Resol  Asuntos'!D12/NºAsuntos!G12," - ")</f>
        <v>0.30131826741996232</v>
      </c>
      <c r="AO12" s="250">
        <f>IF(ISNUMBER((NºAsuntos!C12+NºAsuntos!E12)/NºAsuntos!G12),(NºAsuntos!C12+NºAsuntos!E12)/NºAsuntos!G12," - ")</f>
        <v>3.662900188323917</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4</v>
      </c>
      <c r="F14" s="1012">
        <f t="shared" si="5"/>
        <v>53</v>
      </c>
      <c r="G14" s="1013">
        <f t="shared" si="5"/>
        <v>38</v>
      </c>
      <c r="H14" s="1012">
        <f t="shared" si="5"/>
        <v>0</v>
      </c>
      <c r="I14" s="1014">
        <f t="shared" si="5"/>
        <v>0</v>
      </c>
      <c r="J14" s="1014">
        <f t="shared" si="5"/>
        <v>0</v>
      </c>
      <c r="K14" s="1014">
        <f t="shared" si="5"/>
        <v>0</v>
      </c>
      <c r="L14" s="1014">
        <f t="shared" si="5"/>
        <v>101</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14</v>
      </c>
      <c r="X14" s="1014">
        <f t="shared" si="6"/>
        <v>143</v>
      </c>
      <c r="Y14" s="1015">
        <f t="shared" si="6"/>
        <v>157</v>
      </c>
      <c r="Z14" s="1015">
        <f t="shared" si="6"/>
        <v>0</v>
      </c>
      <c r="AA14" s="1015">
        <f t="shared" si="6"/>
        <v>51</v>
      </c>
      <c r="AB14" s="1015">
        <f t="shared" si="6"/>
        <v>1082</v>
      </c>
      <c r="AC14" s="1015">
        <f t="shared" si="6"/>
        <v>51</v>
      </c>
      <c r="AD14" s="1015">
        <f t="shared" si="6"/>
        <v>0</v>
      </c>
      <c r="AE14" s="1019">
        <f t="shared" si="6"/>
        <v>0</v>
      </c>
      <c r="AF14" s="1012">
        <f t="shared" si="6"/>
        <v>0</v>
      </c>
      <c r="AG14" s="1020">
        <f t="shared" si="6"/>
        <v>0</v>
      </c>
      <c r="AH14" s="1017">
        <f t="shared" si="6"/>
        <v>0</v>
      </c>
      <c r="AI14" s="1012">
        <f t="shared" si="6"/>
        <v>168</v>
      </c>
      <c r="AJ14" s="1014">
        <f t="shared" si="6"/>
        <v>0</v>
      </c>
      <c r="AK14" s="1017">
        <f>SUBTOTAL(9,AK9:AK13)</f>
        <v>0</v>
      </c>
      <c r="AL14" s="1021">
        <f>IF(ISNUMBER(NºAsuntos!G14/NºAsuntos!E14),NºAsuntos!G14/NºAsuntos!E14," - ")</f>
        <v>1.0186915887850467</v>
      </c>
      <c r="AM14" s="1021">
        <f>IF(ISNUMBER(((NºAsuntos!I14/NºAsuntos!G14)*11)/factor_trimestre),((NºAsuntos!I14/NºAsuntos!G14)*11)/factor_trimestre," - ")</f>
        <v>7.8220183486238533</v>
      </c>
      <c r="AN14" s="1022">
        <f>IF(ISNUMBER('Resol  Asuntos'!D14/NºAsuntos!G14),'Resol  Asuntos'!D14/NºAsuntos!G14," - ")</f>
        <v>0.30825688073394497</v>
      </c>
      <c r="AO14" s="1023">
        <f>IF(ISNUMBER((NºAsuntos!C14+NºAsuntos!E14)/NºAsuntos!G14),(NºAsuntos!C14+NºAsuntos!E14)/NºAsuntos!G14," - ")</f>
        <v>3.6605504587155964</v>
      </c>
      <c r="AP14" s="1024" t="str">
        <f t="shared" si="2"/>
        <v xml:space="preserve"> - </v>
      </c>
      <c r="AQ14" s="1024">
        <f>IF(ISNUMBER((H14-W14+K14)/(F14)),(H14-W14+K14)/(F14)," - ")</f>
        <v>-0.26415094339622641</v>
      </c>
      <c r="AR14" s="1025">
        <f>IF(ISNUMBER((Datos!P14-Datos!Q14)/(Datos!R14-Datos!P14+Datos!Q14)),(Datos!P14-Datos!Q14)/(Datos!R14-Datos!P14+Datos!Q14)," - ")</f>
        <v>-3.7366548042704624E-2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4</v>
      </c>
      <c r="B17" s="280" t="s">
        <v>437</v>
      </c>
      <c r="C17" s="165" t="str">
        <f>Datos!A17</f>
        <v xml:space="preserve">Jdos. 1ª Instª. e Instr.                        </v>
      </c>
      <c r="D17" s="165"/>
      <c r="E17" s="1205">
        <f>IF(ISNUMBER(Datos!AQ17),Datos!AQ17," - ")</f>
        <v>4</v>
      </c>
      <c r="F17" s="230">
        <f>IF(ISNUMBER(AA17+W17-Datos!J17-K17),AA17+W17-Datos!J17-K17," - ")</f>
        <v>1384</v>
      </c>
      <c r="G17" s="343">
        <f>IF(ISNUMBER(IF(D_I="SI",Datos!I17,Datos!I17+Datos!AC17)),IF(D_I="SI",Datos!I17,Datos!I17+Datos!AC17)," - ")</f>
        <v>1383</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50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600</v>
      </c>
      <c r="X17" s="231">
        <f>IF(ISNUMBER(Datos!Q17),Datos!Q17," - ")</f>
        <v>41</v>
      </c>
      <c r="Y17" s="344">
        <f t="shared" ref="Y17:Y19" si="9">SUM(W17:X17)</f>
        <v>641</v>
      </c>
      <c r="Z17" s="345" t="str">
        <f>IF(ISNUMBER(Datos!CC17),Datos!CC17," - ")</f>
        <v xml:space="preserve"> - </v>
      </c>
      <c r="AA17" s="342">
        <f>IF(ISNUMBER(IF(D_I="SI",Datos!L17,Datos!L17+Datos!AF17)),IF(D_I="SI",Datos!L17,Datos!L17+Datos!AF17)," - ")</f>
        <v>1365</v>
      </c>
      <c r="AB17" s="344">
        <f>IF(ISNUMBER(Datos!R17),Datos!R17," - ")</f>
        <v>175</v>
      </c>
      <c r="AC17" s="344">
        <f t="shared" si="8"/>
        <v>1540</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120</v>
      </c>
      <c r="AJ17" s="236" t="str">
        <f>IF(ISNUMBER(Datos!BW17),Datos!BW17," - ")</f>
        <v xml:space="preserve"> - </v>
      </c>
      <c r="AK17" s="237" t="str">
        <f>IF(ISNUMBER(Datos!BX17),Datos!BX17," - ")</f>
        <v xml:space="preserve"> - </v>
      </c>
      <c r="AL17" s="248">
        <f>IF(ISNUMBER(NºAsuntos!G17/NºAsuntos!E17),NºAsuntos!G17/NºAsuntos!E17," - ")</f>
        <v>1.0327022375215147</v>
      </c>
      <c r="AM17" s="265">
        <f>IF(ISNUMBER(((NºAsuntos!I17/NºAsuntos!G17)*11)/factor_trimestre),((NºAsuntos!I17/NºAsuntos!G17)*11)/factor_trimestre," - ")</f>
        <v>6.8250000000000002</v>
      </c>
      <c r="AN17" s="249">
        <f>IF(ISNUMBER('Resol  Asuntos'!D17/NºAsuntos!G17),'Resol  Asuntos'!D17/NºAsuntos!G17," - ")</f>
        <v>0.2</v>
      </c>
      <c r="AO17" s="250">
        <f>IF(ISNUMBER((NºAsuntos!C17+NºAsuntos!E17)/NºAsuntos!G17),(NºAsuntos!C17+NºAsuntos!E17)/NºAsuntos!G17," - ")</f>
        <v>3.2733333333333334</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138</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60</v>
      </c>
      <c r="X18" s="231">
        <f>IF(ISNUMBER(Datos!Q18),Datos!Q18," - ")</f>
        <v>0</v>
      </c>
      <c r="Y18" s="344">
        <f t="shared" si="9"/>
        <v>60</v>
      </c>
      <c r="Z18" s="345" t="str">
        <f>IF(ISNUMBER(Datos!CC18),Datos!CC18," - ")</f>
        <v xml:space="preserve"> - </v>
      </c>
      <c r="AA18" s="342">
        <f>IF(ISNUMBER(Datos!L18),Datos!L18,"-")</f>
        <v>136</v>
      </c>
      <c r="AB18" s="344">
        <f>IF(ISNUMBER(Datos!R18),Datos!R18," - ")</f>
        <v>0</v>
      </c>
      <c r="AC18" s="344">
        <f t="shared" si="8"/>
        <v>136</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14</v>
      </c>
      <c r="AJ18" s="236" t="str">
        <f>IF(ISNUMBER(Datos!BW18),Datos!BW18," - ")</f>
        <v xml:space="preserve"> - </v>
      </c>
      <c r="AK18" s="237" t="str">
        <f>IF(ISNUMBER(Datos!BX18),Datos!BX18," - ")</f>
        <v xml:space="preserve"> - </v>
      </c>
      <c r="AL18" s="248">
        <f>IF(ISNUMBER(NºAsuntos!G18/NºAsuntos!E18),NºAsuntos!G18/NºAsuntos!E18," - ")</f>
        <v>1.0344827586206897</v>
      </c>
      <c r="AM18" s="265">
        <f>IF(ISNUMBER(((NºAsuntos!I18/NºAsuntos!G18)*11)/factor_trimestre),((NºAsuntos!I18/NºAsuntos!G18)*11)/factor_trimestre," - ")</f>
        <v>6.8000000000000007</v>
      </c>
      <c r="AN18" s="249">
        <f>IF(ISNUMBER('Resol  Asuntos'!D18/NºAsuntos!G18),'Resol  Asuntos'!D18/NºAsuntos!G18," - ")</f>
        <v>0.23333333333333334</v>
      </c>
      <c r="AO18" s="250">
        <f>IF(ISNUMBER((NºAsuntos!C18+NºAsuntos!E18)/NºAsuntos!G18),(NºAsuntos!C18+NºAsuntos!E18)/NºAsuntos!G18," - ")</f>
        <v>3.2666666666666666</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4</v>
      </c>
      <c r="F20" s="1012">
        <f>SUBTOTAL(9,F15:F19)</f>
        <v>1384</v>
      </c>
      <c r="G20" s="1013">
        <f>SUBTOTAL(9,G16:G19)</f>
        <v>1521</v>
      </c>
      <c r="H20" s="1012">
        <f t="shared" ref="H20:O20" si="12">SUBTOTAL(9,H15:H19)</f>
        <v>0</v>
      </c>
      <c r="I20" s="1014">
        <f t="shared" si="12"/>
        <v>0</v>
      </c>
      <c r="J20" s="1014">
        <f t="shared" si="12"/>
        <v>0</v>
      </c>
      <c r="K20" s="1014">
        <f t="shared" si="12"/>
        <v>0</v>
      </c>
      <c r="L20" s="1014">
        <f t="shared" si="12"/>
        <v>50</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660</v>
      </c>
      <c r="X20" s="1014">
        <f t="shared" si="13"/>
        <v>41</v>
      </c>
      <c r="Y20" s="1015">
        <f t="shared" si="13"/>
        <v>701</v>
      </c>
      <c r="Z20" s="1015">
        <f t="shared" si="13"/>
        <v>0</v>
      </c>
      <c r="AA20" s="1015">
        <f t="shared" si="13"/>
        <v>1501</v>
      </c>
      <c r="AB20" s="1015">
        <f t="shared" si="13"/>
        <v>175</v>
      </c>
      <c r="AC20" s="1015">
        <f t="shared" si="13"/>
        <v>1676</v>
      </c>
      <c r="AD20" s="1015">
        <f t="shared" si="13"/>
        <v>0</v>
      </c>
      <c r="AE20" s="1019">
        <f t="shared" si="13"/>
        <v>0</v>
      </c>
      <c r="AF20" s="1012">
        <f t="shared" si="13"/>
        <v>0</v>
      </c>
      <c r="AG20" s="1020">
        <f t="shared" si="13"/>
        <v>0</v>
      </c>
      <c r="AH20" s="1017">
        <f t="shared" si="13"/>
        <v>0</v>
      </c>
      <c r="AI20" s="1012">
        <f t="shared" si="13"/>
        <v>134</v>
      </c>
      <c r="AJ20" s="1014">
        <f t="shared" si="13"/>
        <v>0</v>
      </c>
      <c r="AK20" s="1017">
        <f t="shared" si="13"/>
        <v>0</v>
      </c>
      <c r="AL20" s="1021">
        <f>IF(ISNUMBER(NºAsuntos!G20/NºAsuntos!E20),NºAsuntos!G20/NºAsuntos!E20," - ")</f>
        <v>1.0328638497652582</v>
      </c>
      <c r="AM20" s="1021">
        <f>IF(ISNUMBER(((NºAsuntos!I20/NºAsuntos!G20)*11)/factor_trimestre),((NºAsuntos!I20/NºAsuntos!G20)*11)/factor_trimestre," - ")</f>
        <v>6.8227272727272741</v>
      </c>
      <c r="AN20" s="1022">
        <f>IF(ISNUMBER('Resol  Asuntos'!D20/NºAsuntos!G20),'Resol  Asuntos'!D20/NºAsuntos!G20," - ")</f>
        <v>0.20303030303030303</v>
      </c>
      <c r="AO20" s="1023">
        <f>IF(ISNUMBER((NºAsuntos!C20+NºAsuntos!E20)/NºAsuntos!G20),(NºAsuntos!C20+NºAsuntos!E20)/NºAsuntos!G20," - ")</f>
        <v>3.2727272727272729</v>
      </c>
      <c r="AP20" s="1024" t="str">
        <f t="shared" si="2"/>
        <v xml:space="preserve"> - </v>
      </c>
      <c r="AQ20" s="1024">
        <f>IF(ISNUMBER((H20-W20+K20)/(F20)),(H20-W20+K20)/(F20)," - ")</f>
        <v>-0.47687861271676302</v>
      </c>
      <c r="AR20" s="1025">
        <f>IF(ISNUMBER((Datos!P20-Datos!Q20)/(Datos!R20-Datos!P20+Datos!Q20)),(Datos!P20-Datos!Q20)/(Datos!R20-Datos!P20+Datos!Q20)," - ")</f>
        <v>5.4216867469879519E-2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8</v>
      </c>
      <c r="F21" s="967">
        <f t="shared" si="15"/>
        <v>1437</v>
      </c>
      <c r="G21" s="968">
        <f t="shared" si="15"/>
        <v>1559</v>
      </c>
      <c r="H21" s="967">
        <f t="shared" si="15"/>
        <v>0</v>
      </c>
      <c r="I21" s="969">
        <f t="shared" si="15"/>
        <v>0</v>
      </c>
      <c r="J21" s="969">
        <f t="shared" si="15"/>
        <v>0</v>
      </c>
      <c r="K21" s="1028">
        <f t="shared" si="15"/>
        <v>0</v>
      </c>
      <c r="L21" s="969">
        <f t="shared" si="15"/>
        <v>151</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674</v>
      </c>
      <c r="X21" s="968">
        <f t="shared" si="16"/>
        <v>184</v>
      </c>
      <c r="Y21" s="975">
        <f t="shared" si="16"/>
        <v>858</v>
      </c>
      <c r="Z21" s="975">
        <f t="shared" si="16"/>
        <v>0</v>
      </c>
      <c r="AA21" s="975">
        <f t="shared" si="16"/>
        <v>1552</v>
      </c>
      <c r="AB21" s="975">
        <f t="shared" si="16"/>
        <v>1257</v>
      </c>
      <c r="AC21" s="975">
        <f t="shared" si="16"/>
        <v>1727</v>
      </c>
      <c r="AD21" s="975">
        <f t="shared" si="16"/>
        <v>0</v>
      </c>
      <c r="AE21" s="977">
        <f t="shared" si="16"/>
        <v>0</v>
      </c>
      <c r="AF21" s="978">
        <f t="shared" si="16"/>
        <v>0</v>
      </c>
      <c r="AG21" s="979">
        <f t="shared" si="16"/>
        <v>0</v>
      </c>
      <c r="AH21" s="977">
        <f t="shared" si="16"/>
        <v>0</v>
      </c>
      <c r="AI21" s="967">
        <f t="shared" si="16"/>
        <v>302</v>
      </c>
      <c r="AJ21" s="967">
        <f t="shared" si="16"/>
        <v>0</v>
      </c>
      <c r="AK21" s="977">
        <f t="shared" si="16"/>
        <v>0</v>
      </c>
      <c r="AL21" s="1031">
        <f>IF(ISNUMBER(NºAsuntos!G21/NºAsuntos!E21),NºAsuntos!G21/NºAsuntos!E21," - ")</f>
        <v>1.026405451448041</v>
      </c>
      <c r="AM21" s="1032">
        <f>IF(ISNUMBER(((NºAsuntos!I21/NºAsuntos!G21)*11)/factor_trimestre),((NºAsuntos!I21/NºAsuntos!G21)*11)/factor_trimestre," - ")</f>
        <v>7.2746887966804978</v>
      </c>
      <c r="AN21" s="1032">
        <f>IF(ISNUMBER('Resol  Asuntos'!D21/NºAsuntos!G21),'Resol  Asuntos'!D21/NºAsuntos!G21," - ")</f>
        <v>0.25062240663900415</v>
      </c>
      <c r="AO21" s="1033">
        <f>IF(ISNUMBER((NºAsuntos!C21+NºAsuntos!E21)/NºAsuntos!G21),(NºAsuntos!C21+NºAsuntos!E21)/NºAsuntos!G21," - ")</f>
        <v>3.4481327800829877</v>
      </c>
      <c r="AP21" s="1034" t="str">
        <f t="shared" si="2"/>
        <v xml:space="preserve"> - </v>
      </c>
      <c r="AQ21" s="1035">
        <f>IF(OR(ISNUMBER(FIND("01",Criterios!A8,1)),ISNUMBER(FIND("02",Criterios!A8,1)),ISNUMBER(FIND("03",Criterios!A8,1)),ISNUMBER(FIND("04",Criterios!A8,1))),(I21-W21+K21)/(F21-K21),(H21-W21+K21)/(F21-K21))</f>
        <v>-0.46903270702853167</v>
      </c>
      <c r="AR21" s="1036">
        <f>IF(ISNUMBER((Datos!P21-Datos!Q21)/(Datos!R21-Datos!P21+Datos!Q21)),(Datos!P21-Datos!Q21)/(Datos!R21-Datos!P21+Datos!Q21)," - ")</f>
        <v>-2.5581395348837209E-2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623.6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2.018099916438052</v>
      </c>
      <c r="F23" s="257">
        <f>IF(ISNUMBER(STDEV(F8:F20)),STDEV(F8:F20),"-")</f>
        <v>768.45320829139189</v>
      </c>
      <c r="G23" s="258">
        <f>IF(ISNUMBER(STDEV(G8:G20)),STDEV(G8:G20),"-")</f>
        <v>758.89347078493176</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330.21629275370407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71.606331191219866</v>
      </c>
      <c r="AJ23" s="257">
        <f t="shared" si="20"/>
        <v>0</v>
      </c>
      <c r="AK23" s="259">
        <f t="shared" si="20"/>
        <v>0</v>
      </c>
      <c r="AL23" s="254">
        <f t="shared" si="20"/>
        <v>5.7670152406866765E-2</v>
      </c>
      <c r="AM23" s="255">
        <f t="shared" si="20"/>
        <v>1.5933940890694078</v>
      </c>
      <c r="AN23" s="255">
        <f t="shared" si="20"/>
        <v>0.139671528257513</v>
      </c>
      <c r="AO23" s="256">
        <f t="shared" si="20"/>
        <v>0.20032028491981191</v>
      </c>
      <c r="AP23" s="296" t="str">
        <f t="shared" si="20"/>
        <v>-</v>
      </c>
      <c r="AQ23" s="297">
        <f t="shared" si="20"/>
        <v>0.15042117752256104</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YhY9bQO0Xu8Z+yxpJYlKVIuxXW7vX5ZPtNFWb2GwtPWBPV6FI8e7l7WM6He3cDuu0fYhQaBPAw8wg7lsdM51iQ==" saltValue="ZcVipY+oHYpTqxSWtrApS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PAIS VASCO</v>
      </c>
      <c r="E2" s="268"/>
    </row>
    <row r="3" spans="2:20" ht="17.25" customHeight="1">
      <c r="C3" s="272"/>
      <c r="D3" s="267" t="str">
        <f>Criterios!A10 &amp;"  "&amp;Criterios!B10</f>
        <v>Provincias  GIPUZKOA</v>
      </c>
      <c r="E3" s="268"/>
    </row>
    <row r="4" spans="2:20" ht="17.25" customHeight="1" thickBot="1">
      <c r="D4" s="267" t="str">
        <f>Criterios!A11 &amp;"  "&amp;Criterios!B11</f>
        <v>Resumenes por Partidos Judiciales  TOLOSA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0.46153846153846156</v>
      </c>
      <c r="E10" s="358">
        <f>IF(ISNUMBER((Datos!J10-Datos!T10)/Datos!T10),(Datos!J10-Datos!T10)/Datos!T10," - ")</f>
        <v>0.2</v>
      </c>
      <c r="F10" s="358">
        <f>IF(ISNUMBER((Datos!K10-Datos!U10)/Datos!U10),(Datos!K10-Datos!U10)/Datos!U10," - ")</f>
        <v>1.8</v>
      </c>
      <c r="G10" s="359">
        <f>IF(ISNUMBER((Datos!L10-Datos!V10)/Datos!V10),(Datos!L10-Datos!V10)/Datos!V10," - ")</f>
        <v>0.64516129032258063</v>
      </c>
      <c r="H10" s="235">
        <f>IF(ISNUMBER((Datos!M10-Datos!W10)/Datos!W10),(Datos!M10-Datos!W10)/Datos!W10," - ")</f>
        <v>3</v>
      </c>
      <c r="I10" s="360">
        <f>IF(ISNUMBER((Tasas!C10-Datos!BE10)/Datos!BE10),(Tasas!C10-Datos!BE10)/Datos!BE10," - ")</f>
        <v>-0.4124423963133641</v>
      </c>
      <c r="J10" s="359">
        <f>IF(ISNUMBER((Tasas!D10-Datos!BF10)/Datos!BF10),(Tasas!D10-Datos!BF10)/Datos!BF10," - ")</f>
        <v>0.42857142857142844</v>
      </c>
      <c r="K10" s="361">
        <f>IF(ISNUMBER((Tasas!E10-Datos!BG10)/Datos!BG10),(Tasas!E10-Datos!BG10)/Datos!BG10," - ")</f>
        <v>-0.50396825396825395</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0.41592920353982299</v>
      </c>
      <c r="I12" s="360">
        <f>IF(ISNUMBER((Tasas!C12-Datos!BE12)/Datos!BE12),(Tasas!C12-Datos!BE12)/Datos!BE12," - ")</f>
        <v>-8.951049373487039E-3</v>
      </c>
      <c r="J12" s="359">
        <f>IF(ISNUMBER((Tasas!D12-Datos!BF12)/Datos!BF12),(Tasas!D12-Datos!BF12)/Datos!BF12," - ")</f>
        <v>-0.18914915677437114</v>
      </c>
      <c r="K12" s="361">
        <f>IF(ISNUMBER((Tasas!E12-Datos!BG12)/Datos!BG12),(Tasas!E12-Datos!BG12)/Datos!BG12," - ")</f>
        <v>1.5352540629141322E-2</v>
      </c>
      <c r="M12" t="e">
        <f>IF(Monitorios="SI",Datos!CE12,0)</f>
        <v>#REF!</v>
      </c>
      <c r="N12" t="e">
        <f>IF(Monitorios="SI",Datos!CF12,0)</f>
        <v>#REF!</v>
      </c>
      <c r="O12" t="e">
        <f>IF(Monitorios="SI",Datos!CG12,0)</f>
        <v>#REF!</v>
      </c>
      <c r="P12" t="e">
        <f>IF(Monitorios="SI",Datos!CH12,0)</f>
        <v>#REF!</v>
      </c>
      <c r="Q12">
        <f>IF(J_V="SI",0,Datos!AG12)</f>
        <v>55</v>
      </c>
      <c r="R12">
        <f>IF(J_V="SI",0,Datos!AH12)</f>
        <v>44</v>
      </c>
      <c r="S12">
        <f>IF(J_V="SI",0,Datos!AI12)</f>
        <v>51</v>
      </c>
      <c r="T12">
        <f>IF(J_V="SI",0,Datos!AJ12)</f>
        <v>48</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0.46086956521739131</v>
      </c>
      <c r="I14" s="367">
        <f>IF(ISNUMBER((Tasas!C14-Datos!BE14)/Datos!BE14),(Tasas!C14-Datos!BE14)/Datos!BE14," - ")</f>
        <v>-1.255689078405204E-2</v>
      </c>
      <c r="J14" s="365">
        <f>IF(ISNUMBER((Tasas!D14-Datos!BF14)/Datos!BF14),(Tasas!D14-Datos!BF14)/Datos!BF14," - ")</f>
        <v>-0.17113149847094794</v>
      </c>
      <c r="K14" s="368">
        <f>IF(ISNUMBER((Tasas!E14-Datos!BG14)/Datos!BG14),(Tasas!E14-Datos!BG14)/Datos!BG14," - ")</f>
        <v>4.3687199650502299E-3</v>
      </c>
      <c r="M14" t="e">
        <f>IF(Monitorios="SI",Datos!CE14,0)</f>
        <v>#REF!</v>
      </c>
      <c r="N14" t="e">
        <f>IF(Monitorios="SI",Datos!CF14,0)</f>
        <v>#REF!</v>
      </c>
      <c r="O14" t="e">
        <f>IF(Monitorios="SI",Datos!CG14,0)</f>
        <v>#REF!</v>
      </c>
      <c r="P14" t="e">
        <f>IF(Monitorios="SI",Datos!CH14,0)</f>
        <v>#REF!</v>
      </c>
      <c r="Q14">
        <f>IF(J_V="SI",0,Datos!AG14)</f>
        <v>55</v>
      </c>
      <c r="R14">
        <f>IF(J_V="SI",0,Datos!AH14)</f>
        <v>44</v>
      </c>
      <c r="S14">
        <f>IF(J_V="SI",0,Datos!AI14)</f>
        <v>51</v>
      </c>
      <c r="T14">
        <f>IF(J_V="SI",0,Datos!AJ14)</f>
        <v>48</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0.11712439418416801</v>
      </c>
      <c r="E17" s="358">
        <f>IF(ISNUMBER(
   IF(D_I="SI",(Datos!J17-Datos!T17)/Datos!T17,(Datos!J17+Datos!AD17-(Datos!T17+Datos!AL17))/(Datos!T17+Datos!AL17))
     ),IF(D_I="SI",(Datos!J17-Datos!T17)/Datos!T17,(Datos!J17+Datos!AD17-(Datos!T17+Datos!AL17))/(Datos!T17+Datos!AL17))," - ")</f>
        <v>-0.19305555555555556</v>
      </c>
      <c r="F17" s="358">
        <f>IF(ISNUMBER(
   IF(D_I="SI",(Datos!K17-Datos!U17)/Datos!U17,(Datos!K17+Datos!AE17-(Datos!U17+Datos!AM17))/(Datos!U17+Datos!AM17))
     ),IF(D_I="SI",(Datos!K17-Datos!U17)/Datos!U17,(Datos!K17+Datos!AE17-(Datos!U17+Datos!AM17))/(Datos!U17+Datos!AM17))," - ")</f>
        <v>-0.12790697674418605</v>
      </c>
      <c r="G17" s="359">
        <f>IF(ISNUMBER(
   IF(D_I="SI",(Datos!L17-Datos!V17)/Datos!V17,(Datos!L17+Datos!AF17-(Datos!V17+Datos!AN17))/(Datos!V17+Datos!AN17))
     ),IF(D_I="SI",(Datos!L17-Datos!V17)/Datos!V17,(Datos!L17+Datos!AF17-(Datos!V17+Datos!AN17))/(Datos!V17+Datos!AN17))," - ")</f>
        <v>7.3113207547169809E-2</v>
      </c>
      <c r="H17" s="235">
        <f>IF(ISNUMBER((Datos!M17-Datos!W17)/Datos!W17),(Datos!M17-Datos!W17)/Datos!W17," - ")</f>
        <v>-0.27710843373493976</v>
      </c>
      <c r="I17" s="360">
        <f>IF(ISNUMBER((Tasas!C17-Datos!BE17)/Datos!BE17),(Tasas!C17-Datos!BE17)/Datos!BE17," - ")</f>
        <v>0.23050314465408803</v>
      </c>
      <c r="J17" s="359">
        <f>IF(ISNUMBER((Tasas!D17-Datos!BF17)/Datos!BF17),(Tasas!D17-Datos!BF17)/Datos!BF17," - ")</f>
        <v>-0.1710843373493976</v>
      </c>
      <c r="K17" s="361">
        <f>IF(ISNUMBER((Tasas!E17-Datos!BG17)/Datos!BG17),(Tasas!E17-Datos!BG17)/Datos!BG17," - ")</f>
        <v>0.15018045624787205</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0.56818181818181823</v>
      </c>
      <c r="E18" s="358">
        <f>IF(ISNUMBER(
   IF(D_I="SI",(Datos!J18-Datos!T18)/Datos!T18,(Datos!J18+Datos!AD18-(Datos!T18+Datos!AL18))/(Datos!T18+Datos!AL18))
     ),IF(D_I="SI",(Datos!J18-Datos!T18)/Datos!T18,(Datos!J18+Datos!AD18-(Datos!T18+Datos!AL18))/(Datos!T18+Datos!AL18))," - ")</f>
        <v>-0.23684210526315788</v>
      </c>
      <c r="F18" s="358">
        <f>IF(ISNUMBER(
   IF(D_I="SI",(Datos!K18-Datos!U18)/Datos!U18,(Datos!K18+Datos!AE18-(Datos!U18+Datos!AM18))/(Datos!U18+Datos!AM18))
     ),IF(D_I="SI",(Datos!K18-Datos!U18)/Datos!U18,(Datos!K18+Datos!AE18-(Datos!U18+Datos!AM18))/(Datos!U18+Datos!AM18))," - ")</f>
        <v>-0.15492957746478872</v>
      </c>
      <c r="G18" s="359">
        <f>IF(ISNUMBER(
   IF(D_I="SI",(Datos!L18-Datos!V18)/Datos!V18,(Datos!L18+Datos!AF18-(Datos!V18+Datos!AN18))/(Datos!V18+Datos!AN18))
     ),IF(D_I="SI",(Datos!L18-Datos!V18)/Datos!V18,(Datos!L18+Datos!AF18-(Datos!V18+Datos!AN18))/(Datos!V18+Datos!AN18))," - ")</f>
        <v>0.46236559139784944</v>
      </c>
      <c r="H18" s="235">
        <f>IF(ISNUMBER((Datos!M18-Datos!W18)/Datos!W18),(Datos!M18-Datos!W18)/Datos!W18," - ")</f>
        <v>0.75</v>
      </c>
      <c r="I18" s="360">
        <f>IF(ISNUMBER((Tasas!C18-Datos!BE18)/Datos!BE18),(Tasas!C18-Datos!BE18)/Datos!BE18," - ")</f>
        <v>0.7304659498207885</v>
      </c>
      <c r="J18" s="359">
        <f>IF(ISNUMBER((Tasas!D18-Datos!BF18)/Datos!BF18),(Tasas!D18-Datos!BF18)/Datos!BF18," - ")</f>
        <v>1.0708333333333333</v>
      </c>
      <c r="K18" s="361">
        <f>IF(ISNUMBER((Tasas!E18-Datos!BG18)/Datos!BG18),(Tasas!E18-Datos!BG18)/Datos!BG18," - ")</f>
        <v>0.41422764227642273</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0.14705882352941177</v>
      </c>
      <c r="E20" s="364">
        <f>IF(ISNUMBER(
   IF(D_I="SI",(Datos!J20-Datos!T20)/Datos!T20,(Datos!J20+Datos!AD20-(Datos!T20+Datos!AL20))/(Datos!T20+Datos!AL20))
     ),IF(D_I="SI",(Datos!J20-Datos!T20)/Datos!T20,(Datos!J20+Datos!AD20-(Datos!T20+Datos!AL20))/(Datos!T20+Datos!AL20))," - ")</f>
        <v>-0.19723618090452261</v>
      </c>
      <c r="F20" s="364">
        <f>IF(ISNUMBER(
   IF(D_I="SI",(Datos!K20-Datos!U20)/Datos!U20,(Datos!K20+Datos!AE20-(Datos!U20+Datos!AM20))/(Datos!U20+Datos!AM20))
     ),IF(D_I="SI",(Datos!K20-Datos!U20)/Datos!U20,(Datos!K20+Datos!AE20-(Datos!U20+Datos!AM20))/(Datos!U20+Datos!AM20))," - ")</f>
        <v>-0.13043478260869565</v>
      </c>
      <c r="G20" s="365">
        <f>IF(ISNUMBER(
   IF(D_I="SI",(Datos!L20-Datos!V20)/Datos!V20,(Datos!L20+Datos!AF20-(Datos!V20+Datos!AN20))/(Datos!V20+Datos!AN20))
     ),IF(D_I="SI",(Datos!L20-Datos!V20)/Datos!V20,(Datos!L20+Datos!AF20-(Datos!V20+Datos!AN20))/(Datos!V20+Datos!AN20))," - ")</f>
        <v>9.9633699633699641E-2</v>
      </c>
      <c r="H20" s="366">
        <f>IF(ISNUMBER((Datos!M20-Datos!W20)/Datos!W20),(Datos!M20-Datos!W20)/Datos!W20," - ")</f>
        <v>-0.22988505747126436</v>
      </c>
      <c r="I20" s="367">
        <f>IF(ISNUMBER((Tasas!C20-Datos!BE20)/Datos!BE20),(Tasas!C20-Datos!BE20)/Datos!BE20," - ")</f>
        <v>0.26457875457875463</v>
      </c>
      <c r="J20" s="365">
        <f>IF(ISNUMBER((Tasas!D20-Datos!BF20)/Datos!BF20),(Tasas!D20-Datos!BF20)/Datos!BF20," - ")</f>
        <v>-0.11436781609195404</v>
      </c>
      <c r="K20" s="368">
        <f>IF(ISNUMBER((Tasas!E20-Datos!BG20)/Datos!BG20),(Tasas!E20-Datos!BG20)/Datos!BG20," - ")</f>
        <v>0.17059377945334592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0.19192323070771691</v>
      </c>
      <c r="E21" s="373">
        <f>IF(ISNUMBER(
   IF(J_V="SI",(Datos!J21-Datos!T21)/Datos!T21,(Datos!J21+Datos!Z21-(Datos!T21+Datos!AH21))/(Datos!T21+Datos!AH21))
     ),IF(J_V="SI",(Datos!J21-Datos!T21)/Datos!T21,(Datos!J21+Datos!Z21-(Datos!T21+Datos!AH21))/(Datos!T21+Datos!AH21))," - ")</f>
        <v>-0.15234657039711191</v>
      </c>
      <c r="F21" s="373">
        <f>IF(ISNUMBER(
   IF(J_V="SI",(Datos!K21-Datos!U21)/Datos!U21,(Datos!K21+Datos!AA21-(Datos!U21+Datos!AI21))/(Datos!U21+Datos!AI21))
     ),IF(J_V="SI",(Datos!K21-Datos!U21)/Datos!U21,(Datos!K21+Datos!AA21-(Datos!U21+Datos!AI21))/(Datos!U21+Datos!AI21))," - ")</f>
        <v>-3.0571198712791632E-2</v>
      </c>
      <c r="G21" s="374">
        <f>IF(ISNUMBER(
   IF(J_V="SI",(Datos!L21-Datos!V21)/Datos!V21,(Datos!L21+Datos!AB21-(Datos!V21+Datos!AJ21))/(Datos!V21+Datos!AJ21))
     ),IF(J_V="SI",(Datos!L21-Datos!V21)/Datos!V21,(Datos!L21+Datos!AB21-(Datos!V21+Datos!AJ21))/(Datos!V21+Datos!AJ21))," - ")</f>
        <v>0.10556186152099886</v>
      </c>
      <c r="H21" s="375">
        <f>IF(ISNUMBER((Datos!M21-Datos!W21)/Datos!W21),(Datos!M21-Datos!W21)/Datos!W21," - ")</f>
        <v>4.4982698961937718E-2</v>
      </c>
      <c r="I21" s="372">
        <f>IF(ISNUMBER((Tasas!C21-Datos!BE21)/Datos!BE21),(Tasas!C21-Datos!BE21)/Datos!BE21," - ")</f>
        <v>0.14042605300464855</v>
      </c>
      <c r="J21" s="373">
        <f>IF(ISNUMBER((Tasas!D21-Datos!BF21)/Datos!BF21),(Tasas!D21-Datos!BF21)/Datos!BF21," - ")</f>
        <v>-0.11998968516304476</v>
      </c>
      <c r="K21" s="374">
        <f>IF(ISNUMBER((Tasas!E21-Datos!BG21)/Datos!BG21),(Tasas!E21-Datos!BG21)/Datos!BG21," - ")</f>
        <v>0.10294108225505759</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0.22557052564158028</v>
      </c>
      <c r="E23" s="283">
        <f t="shared" si="1"/>
        <v>0.20547174317314931</v>
      </c>
      <c r="F23" s="283">
        <f t="shared" si="1"/>
        <v>0.96895519415925024</v>
      </c>
      <c r="G23" s="284">
        <f t="shared" si="1"/>
        <v>0.28018577302865311</v>
      </c>
      <c r="H23" s="290">
        <f t="shared" si="1"/>
        <v>1.2040543864826325</v>
      </c>
      <c r="I23" s="282">
        <f t="shared" si="1"/>
        <v>0.38016387983710936</v>
      </c>
      <c r="J23" s="283">
        <f t="shared" si="1"/>
        <v>0.51309091546592289</v>
      </c>
      <c r="K23" s="284">
        <f t="shared" si="1"/>
        <v>0.30561415712839629</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S1oGO+oT1UOL2MA5rrfileKlr6wxhU9WlkvgcP0bXPuxvFsejHUjttogaX6nJ63zpO4y2iZ2a02byfnEtin4mA==" saltValue="KZ64cYg0CXLZtIn73d6qw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2023-06-06T09:28:59Z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